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goncharenko1\Documents\"/>
    </mc:Choice>
  </mc:AlternateContent>
  <bookViews>
    <workbookView xWindow="120" yWindow="15" windowWidth="19005" windowHeight="10860"/>
  </bookViews>
  <sheets>
    <sheet name="Instructions&amp;Notes" sheetId="3" r:id="rId1"/>
    <sheet name="Calculator" sheetId="1" r:id="rId2"/>
    <sheet name="Metrics&amp;Counters" sheetId="2" r:id="rId3"/>
  </sheets>
  <calcPr calcId="152511"/>
</workbook>
</file>

<file path=xl/calcChain.xml><?xml version="1.0" encoding="utf-8"?>
<calcChain xmlns="http://schemas.openxmlformats.org/spreadsheetml/2006/main">
  <c r="G23" i="1" l="1"/>
  <c r="G15" i="1"/>
  <c r="F47" i="2"/>
  <c r="E47" i="2"/>
  <c r="E48" i="2"/>
  <c r="F45" i="2"/>
  <c r="E45" i="2"/>
  <c r="E46" i="2" l="1"/>
  <c r="D44" i="2" l="1"/>
  <c r="D45" i="2" l="1"/>
  <c r="D46" i="2"/>
  <c r="C13" i="2" s="1"/>
  <c r="D47" i="2"/>
  <c r="D48" i="2"/>
  <c r="C4" i="2" s="1"/>
  <c r="D49" i="2"/>
  <c r="C5" i="2" s="1"/>
  <c r="G31" i="1"/>
  <c r="C48" i="2"/>
  <c r="B4" i="2" s="1"/>
  <c r="C49" i="2"/>
  <c r="B5" i="2" s="1"/>
  <c r="C46" i="2"/>
  <c r="B13" i="2" s="1"/>
  <c r="C44" i="2"/>
  <c r="C45" i="2"/>
  <c r="G14" i="1" l="1"/>
  <c r="G16" i="1"/>
  <c r="C21" i="2"/>
  <c r="G32" i="1" s="1"/>
  <c r="C47" i="2"/>
  <c r="B21" i="2" s="1"/>
  <c r="G30" i="1" s="1"/>
  <c r="C20" i="2"/>
  <c r="G17" i="1" l="1"/>
  <c r="G19" i="1"/>
  <c r="G20" i="1"/>
  <c r="G18" i="1"/>
  <c r="G35" i="1"/>
  <c r="G33" i="1"/>
  <c r="G34" i="1"/>
  <c r="G36" i="1"/>
  <c r="B20" i="2"/>
  <c r="B12" i="2"/>
  <c r="G22" i="1" s="1"/>
  <c r="G4" i="1" s="1"/>
  <c r="C12" i="2"/>
  <c r="G24" i="1" s="1"/>
  <c r="G8" i="1" s="1"/>
  <c r="G28" i="1" l="1"/>
  <c r="G26" i="1"/>
  <c r="G10" i="1" s="1"/>
  <c r="G27" i="1"/>
  <c r="G11" i="1" s="1"/>
  <c r="G25" i="1"/>
  <c r="G12" i="1"/>
  <c r="G9" i="1"/>
  <c r="G5" i="1"/>
</calcChain>
</file>

<file path=xl/comments1.xml><?xml version="1.0" encoding="utf-8"?>
<comments xmlns="http://schemas.openxmlformats.org/spreadsheetml/2006/main">
  <authors>
    <author xml:space="preserve"> </author>
  </authors>
  <commentList>
    <comment ref="G3" authorId="0" shapeId="0">
      <text>
        <r>
          <rPr>
            <sz val="9"/>
            <color indexed="81"/>
            <rFont val="Tahoma"/>
            <family val="2"/>
            <charset val="204"/>
          </rPr>
          <t>Total disk space required to store Hyper-V data in the Operational Database</t>
        </r>
      </text>
    </comment>
    <comment ref="B4" authorId="0" shapeId="0">
      <text>
        <r>
          <rPr>
            <b/>
            <sz val="9"/>
            <color indexed="81"/>
            <rFont val="Tahoma"/>
            <family val="2"/>
            <charset val="204"/>
          </rPr>
          <t>Enter</t>
        </r>
        <r>
          <rPr>
            <sz val="9"/>
            <color indexed="81"/>
            <rFont val="Tahoma"/>
            <family val="2"/>
            <charset val="204"/>
          </rPr>
          <t xml:space="preserve"> the number of virtual machines, hosts (including hosts in clusters), disks and clusters in your Hyper-V infrastructure</t>
        </r>
      </text>
    </comment>
    <comment ref="G7" authorId="0" shapeId="0">
      <text>
        <r>
          <rPr>
            <sz val="9"/>
            <color indexed="81"/>
            <rFont val="Tahoma"/>
            <family val="2"/>
            <charset val="204"/>
          </rPr>
          <t>Disk space required to store Hyper-V data in the Data Warehouse (per day, week, month, year and total for the full retention period)</t>
        </r>
      </text>
    </comment>
    <comment ref="B9" authorId="0" shapeId="0">
      <text>
        <r>
          <rPr>
            <b/>
            <sz val="9"/>
            <color indexed="81"/>
            <rFont val="Tahoma"/>
            <family val="2"/>
            <charset val="204"/>
          </rPr>
          <t>Change if required</t>
        </r>
        <r>
          <rPr>
            <sz val="9"/>
            <color indexed="81"/>
            <rFont val="Tahoma"/>
            <family val="2"/>
            <charset val="204"/>
          </rPr>
          <t xml:space="preserve">
Average number of Cluster Disks in a Cluster</t>
        </r>
      </text>
    </comment>
    <comment ref="B11" authorId="0" shapeId="0">
      <text>
        <r>
          <rPr>
            <b/>
            <sz val="9"/>
            <color indexed="81"/>
            <rFont val="Tahoma"/>
            <family val="2"/>
            <charset val="204"/>
          </rPr>
          <t>Change if required</t>
        </r>
        <r>
          <rPr>
            <sz val="9"/>
            <color indexed="81"/>
            <rFont val="Tahoma"/>
            <family val="2"/>
            <charset val="204"/>
          </rPr>
          <t xml:space="preserve">
Guest OS counters are collected for VMs with SCOM agent and windows OS</t>
        </r>
      </text>
    </comment>
    <comment ref="B19" authorId="0" shapeId="0">
      <text>
        <r>
          <rPr>
            <b/>
            <sz val="9"/>
            <color indexed="81"/>
            <rFont val="Tahoma"/>
            <family val="2"/>
            <charset val="204"/>
          </rPr>
          <t>Enter</t>
        </r>
        <r>
          <rPr>
            <sz val="9"/>
            <color indexed="81"/>
            <rFont val="Tahoma"/>
            <family val="2"/>
            <charset val="204"/>
          </rPr>
          <t xml:space="preserve"> the baseline interval between data collection operations 
in minutes (as defined by performance rule interval)</t>
        </r>
      </text>
    </comment>
    <comment ref="B21" authorId="0" shapeId="0">
      <text>
        <r>
          <rPr>
            <b/>
            <sz val="9"/>
            <color indexed="81"/>
            <rFont val="Tahoma"/>
            <family val="2"/>
            <charset val="204"/>
          </rPr>
          <t>Change if required</t>
        </r>
        <r>
          <rPr>
            <sz val="9"/>
            <color indexed="81"/>
            <rFont val="Tahoma"/>
            <family val="2"/>
            <charset val="204"/>
          </rPr>
          <t xml:space="preserve">
The number of days to keep data in the Operational Database</t>
        </r>
      </text>
    </comment>
    <comment ref="B23" authorId="0" shapeId="0">
      <text>
        <r>
          <rPr>
            <b/>
            <sz val="9"/>
            <color indexed="81"/>
            <rFont val="Tahoma"/>
            <family val="2"/>
            <charset val="204"/>
          </rPr>
          <t>Change if required</t>
        </r>
        <r>
          <rPr>
            <sz val="9"/>
            <color indexed="81"/>
            <rFont val="Tahoma"/>
            <family val="2"/>
            <charset val="204"/>
          </rPr>
          <t xml:space="preserve">
Retention period for non-Raw data in DW DB</t>
        </r>
      </text>
    </comment>
    <comment ref="B25" authorId="0" shapeId="0">
      <text>
        <r>
          <rPr>
            <b/>
            <sz val="9"/>
            <color indexed="81"/>
            <rFont val="Tahoma"/>
            <family val="2"/>
            <charset val="204"/>
          </rPr>
          <t>Change if required</t>
        </r>
        <r>
          <rPr>
            <sz val="9"/>
            <color indexed="81"/>
            <rFont val="Tahoma"/>
            <family val="2"/>
            <charset val="204"/>
          </rPr>
          <t xml:space="preserve">
The number of days to keep data in Raw tables of DW DB</t>
        </r>
      </text>
    </comment>
  </commentList>
</comments>
</file>

<file path=xl/comments2.xml><?xml version="1.0" encoding="utf-8"?>
<comments xmlns="http://schemas.openxmlformats.org/spreadsheetml/2006/main">
  <authors>
    <author xml:space="preserve"> </author>
  </authors>
  <commentList>
    <comment ref="B2" authorId="0" shapeId="0">
      <text>
        <r>
          <rPr>
            <sz val="9"/>
            <color indexed="81"/>
            <rFont val="Tahoma"/>
            <family val="2"/>
            <charset val="204"/>
          </rPr>
          <t>Disk space required to store daily historical VM data in the Operational Database</t>
        </r>
      </text>
    </comment>
    <comment ref="C2" authorId="0" shapeId="0">
      <text>
        <r>
          <rPr>
            <sz val="9"/>
            <color indexed="81"/>
            <rFont val="Tahoma"/>
            <family val="2"/>
            <charset val="204"/>
          </rPr>
          <t>Disk space required to store daily historical VM data in the Data Warehouse</t>
        </r>
      </text>
    </comment>
    <comment ref="C6" authorId="0" shapeId="0">
      <text>
        <r>
          <rPr>
            <sz val="9"/>
            <color indexed="81"/>
            <rFont val="Tahoma"/>
            <family val="2"/>
            <charset val="204"/>
          </rPr>
          <t>Average number of events and alerts generated daily for a virtual machine</t>
        </r>
      </text>
    </comment>
    <comment ref="B10" authorId="0" shapeId="0">
      <text>
        <r>
          <rPr>
            <sz val="9"/>
            <color indexed="81"/>
            <rFont val="Tahoma"/>
            <family val="2"/>
            <charset val="204"/>
          </rPr>
          <t>Disk space required to store daily historical host data in the Configuration Database</t>
        </r>
      </text>
    </comment>
    <comment ref="C10" authorId="0" shapeId="0">
      <text>
        <r>
          <rPr>
            <sz val="9"/>
            <color indexed="81"/>
            <rFont val="Tahoma"/>
            <family val="2"/>
            <charset val="204"/>
          </rPr>
          <t>Disk space required to store daily historical host data in the Data Warehouse</t>
        </r>
      </text>
    </comment>
    <comment ref="C14" authorId="0" shapeId="0">
      <text>
        <r>
          <rPr>
            <sz val="9"/>
            <color indexed="81"/>
            <rFont val="Tahoma"/>
            <family val="2"/>
            <charset val="204"/>
          </rPr>
          <t>Average number of events and alerts generated daily for a host</t>
        </r>
      </text>
    </comment>
    <comment ref="B18" authorId="0" shapeId="0">
      <text>
        <r>
          <rPr>
            <sz val="9"/>
            <color indexed="81"/>
            <rFont val="Tahoma"/>
            <family val="2"/>
            <charset val="204"/>
          </rPr>
          <t>Disk space required to store daily historical data in the Configuration Database</t>
        </r>
      </text>
    </comment>
    <comment ref="C18" authorId="0" shapeId="0">
      <text>
        <r>
          <rPr>
            <sz val="9"/>
            <color indexed="81"/>
            <rFont val="Tahoma"/>
            <family val="2"/>
            <charset val="204"/>
          </rPr>
          <t>Disk space required to store daily historical data in the Data Warehouse</t>
        </r>
      </text>
    </comment>
    <comment ref="C22" authorId="0" shapeId="0">
      <text>
        <r>
          <rPr>
            <sz val="9"/>
            <color indexed="81"/>
            <rFont val="Tahoma"/>
            <family val="2"/>
            <charset val="204"/>
          </rPr>
          <t>Average number of events and alerts generated daily</t>
        </r>
      </text>
    </comment>
    <comment ref="B26" authorId="0" shapeId="0">
      <text>
        <r>
          <rPr>
            <sz val="9"/>
            <color indexed="81"/>
            <rFont val="Tahoma"/>
            <family val="2"/>
            <charset val="204"/>
          </rPr>
          <t>Disk space required to store a single event/alert in the Configuration Database</t>
        </r>
      </text>
    </comment>
    <comment ref="C26" authorId="0" shapeId="0">
      <text>
        <r>
          <rPr>
            <sz val="9"/>
            <color indexed="81"/>
            <rFont val="Tahoma"/>
            <family val="2"/>
            <charset val="204"/>
          </rPr>
          <t>Disk space required to store a single event/alert in the Data Warehouse</t>
        </r>
      </text>
    </comment>
    <comment ref="B32" authorId="0" shapeId="0">
      <text>
        <r>
          <rPr>
            <sz val="9"/>
            <color indexed="81"/>
            <rFont val="Tahoma"/>
            <family val="2"/>
            <charset val="204"/>
          </rPr>
          <t>Disk space required to store a single performance or state metric in corresponding Data Warehouse tables</t>
        </r>
      </text>
    </comment>
  </commentList>
</comments>
</file>

<file path=xl/sharedStrings.xml><?xml version="1.0" encoding="utf-8"?>
<sst xmlns="http://schemas.openxmlformats.org/spreadsheetml/2006/main" count="176" uniqueCount="122">
  <si>
    <t>Operational Database and Data Warehouse Sizing Calculator</t>
  </si>
  <si>
    <t xml:space="preserve">Calculation results are based on the following parameters you need to provide: </t>
  </si>
  <si>
    <t>Instructions</t>
  </si>
  <si>
    <r>
      <t xml:space="preserve">The calculated results are available in the </t>
    </r>
    <r>
      <rPr>
        <b/>
        <sz val="10"/>
        <color indexed="8"/>
        <rFont val="Calibri"/>
        <family val="2"/>
        <charset val="204"/>
      </rPr>
      <t>Results</t>
    </r>
    <r>
      <rPr>
        <sz val="10"/>
        <color indexed="8"/>
        <rFont val="Calibri"/>
        <family val="2"/>
      </rPr>
      <t xml:space="preserve"> column on the </t>
    </r>
    <r>
      <rPr>
        <b/>
        <sz val="10"/>
        <color indexed="8"/>
        <rFont val="Calibri"/>
        <family val="2"/>
        <charset val="204"/>
      </rPr>
      <t>Calculator</t>
    </r>
    <r>
      <rPr>
        <sz val="10"/>
        <color indexed="8"/>
        <rFont val="Calibri"/>
        <family val="2"/>
        <charset val="204"/>
      </rPr>
      <t xml:space="preserve"> worksheet</t>
    </r>
    <r>
      <rPr>
        <sz val="10"/>
        <color indexed="8"/>
        <rFont val="Calibri"/>
        <family val="2"/>
      </rPr>
      <t>.</t>
    </r>
  </si>
  <si>
    <t>PARAMETERS</t>
  </si>
  <si>
    <t>RESULTS</t>
  </si>
  <si>
    <t>Inventory</t>
  </si>
  <si>
    <t>Number of objects</t>
  </si>
  <si>
    <t>VMs</t>
  </si>
  <si>
    <t>Hosts</t>
  </si>
  <si>
    <t>Operational DB</t>
  </si>
  <si>
    <t>Clusters</t>
  </si>
  <si>
    <t>Total per retention</t>
  </si>
  <si>
    <t>Mb</t>
  </si>
  <si>
    <t>Gb</t>
  </si>
  <si>
    <t>VM factors</t>
  </si>
  <si>
    <t>DW</t>
  </si>
  <si>
    <t>Total, per day</t>
  </si>
  <si>
    <t>Total, per week</t>
  </si>
  <si>
    <t>Host factors</t>
  </si>
  <si>
    <t>Total, per month</t>
  </si>
  <si>
    <t>Total, per year</t>
  </si>
  <si>
    <t>Total VM performance per day</t>
  </si>
  <si>
    <t>OpsDB, bytes</t>
  </si>
  <si>
    <t>Total VM properties</t>
  </si>
  <si>
    <t>Total per VM per day</t>
  </si>
  <si>
    <t>DW, Kb</t>
  </si>
  <si>
    <t>Total per VM per week</t>
  </si>
  <si>
    <t>Total per VM per month</t>
  </si>
  <si>
    <t>Total per VM per year</t>
  </si>
  <si>
    <t>Cluster</t>
  </si>
  <si>
    <t>Total Host performance per day</t>
  </si>
  <si>
    <t>Total Host properties</t>
  </si>
  <si>
    <t>Total per Host per day</t>
  </si>
  <si>
    <t>Total per Host per week</t>
  </si>
  <si>
    <t>Total per Host per month</t>
  </si>
  <si>
    <t>Total per Host per year</t>
  </si>
  <si>
    <t>Legend:</t>
  </si>
  <si>
    <t>user-supplied values</t>
  </si>
  <si>
    <t>constant, rarely changed or calculated values</t>
  </si>
  <si>
    <t>results</t>
  </si>
  <si>
    <t>Retention Operational DB</t>
  </si>
  <si>
    <t>Days</t>
  </si>
  <si>
    <t>Number of days to keep data</t>
  </si>
  <si>
    <t>DB</t>
  </si>
  <si>
    <t>Performance per day, bytes</t>
  </si>
  <si>
    <t>This worksheet contains baseline data used for calculation:</t>
  </si>
  <si>
    <t xml:space="preserve"> - VM itself</t>
  </si>
  <si>
    <r>
      <rPr>
        <sz val="11"/>
        <color indexed="8"/>
        <rFont val="Calibri"/>
        <family val="2"/>
        <charset val="204"/>
      </rPr>
      <t>•</t>
    </r>
    <r>
      <rPr>
        <sz val="11"/>
        <color theme="1"/>
        <rFont val="Calibri"/>
        <family val="2"/>
        <scheme val="minor"/>
      </rPr>
      <t xml:space="preserve"> Types of collected metrics
• Disk space calculations for metrics and events
• Structure of metric classes
• Space required to store class instances in the databases</t>
    </r>
  </si>
  <si>
    <t>Events per day</t>
  </si>
  <si>
    <t>Alerts per day</t>
  </si>
  <si>
    <t>State changes per day</t>
  </si>
  <si>
    <t xml:space="preserve"> - Core metrics</t>
  </si>
  <si>
    <t xml:space="preserve"> - Cluster</t>
  </si>
  <si>
    <t xml:space="preserve"> - Datastore</t>
  </si>
  <si>
    <t>Events &amp; Alerts average size</t>
  </si>
  <si>
    <t>Average size of an event on disk</t>
  </si>
  <si>
    <t>Average size of an alert on disk</t>
  </si>
  <si>
    <t>Host NET</t>
  </si>
  <si>
    <t>Average size of a state change on disk</t>
  </si>
  <si>
    <t>DW sizing</t>
  </si>
  <si>
    <t>bytes</t>
  </si>
  <si>
    <t>PerfRaw</t>
  </si>
  <si>
    <t>PerfHourly</t>
  </si>
  <si>
    <t>PerfDaily</t>
  </si>
  <si>
    <t>StateRaw</t>
  </si>
  <si>
    <t>StateHourly</t>
  </si>
  <si>
    <t>StateDaily</t>
  </si>
  <si>
    <t>Collector Classes</t>
  </si>
  <si>
    <t>Property tables</t>
  </si>
  <si>
    <t>Performance</t>
  </si>
  <si>
    <t>counters per class</t>
  </si>
  <si>
    <t>counters per day</t>
  </si>
  <si>
    <t>HostStats</t>
  </si>
  <si>
    <t>VMStats</t>
  </si>
  <si>
    <t>BaseManagedEntity</t>
  </si>
  <si>
    <t>DB sizing</t>
  </si>
  <si>
    <t>size for performance metric</t>
  </si>
  <si>
    <t>Datastore factors</t>
  </si>
  <si>
    <t>Percentage of Windows VMs with SCOM Agent</t>
  </si>
  <si>
    <t>VM in-Guest</t>
  </si>
  <si>
    <t xml:space="preserve"> - VM inGuest counters</t>
  </si>
  <si>
    <t xml:space="preserve"> - Network Adapters</t>
  </si>
  <si>
    <t>Average number of NIC per Host</t>
  </si>
  <si>
    <t>Retention Raw Data in DW DB</t>
  </si>
  <si>
    <t>Overall Retention DW DB</t>
  </si>
  <si>
    <t>VM factors (Guest OS counters)</t>
  </si>
  <si>
    <t>Average size of a property change on disk</t>
  </si>
  <si>
    <t>Property changes per day</t>
  </si>
  <si>
    <t>monitors per class</t>
  </si>
  <si>
    <t>State</t>
  </si>
  <si>
    <t>Total per VM per retention</t>
  </si>
  <si>
    <t>Total per Host per retention</t>
  </si>
  <si>
    <r>
      <t>The calculator will assist you in planning the deployment or scaling of a virtual infrastructure taking into account all major factors that impact the database size.</t>
    </r>
    <r>
      <rPr>
        <b/>
        <sz val="10"/>
        <rFont val="Calibri"/>
        <family val="2"/>
        <charset val="204"/>
      </rPr>
      <t/>
    </r>
  </si>
  <si>
    <t>Copyright © 2014 Veeam Software Inc. All rights reserved worldwide.</t>
  </si>
  <si>
    <r>
      <rPr>
        <b/>
        <sz val="11"/>
        <color indexed="8"/>
        <rFont val="Calibri"/>
        <family val="2"/>
        <charset val="204"/>
      </rPr>
      <t>NOTE</t>
    </r>
    <r>
      <rPr>
        <sz val="11"/>
        <color indexed="8"/>
        <rFont val="Calibri"/>
        <family val="2"/>
        <charset val="204"/>
      </rPr>
      <t>:</t>
    </r>
    <r>
      <rPr>
        <sz val="11"/>
        <color theme="1"/>
        <rFont val="Calibri"/>
        <family val="2"/>
        <scheme val="minor"/>
      </rPr>
      <t xml:space="preserve"> It's not recommended to change values on this worksheet.</t>
    </r>
  </si>
  <si>
    <t>VM Workflows Enabled (1=Enabled, 0=Disabled)</t>
  </si>
  <si>
    <t>Disabled means that "Disable VM Workflows" MP is imported</t>
  </si>
  <si>
    <t>Performance collection interval</t>
  </si>
  <si>
    <t>Average number of Logical Processors per Host</t>
  </si>
  <si>
    <t>Average number of hosts in a cluster</t>
  </si>
  <si>
    <t>Average number of local disks per host which contain VMs</t>
  </si>
  <si>
    <t>Cluster Disk</t>
  </si>
  <si>
    <t>Average number of CSVs on each Cluster Disk</t>
  </si>
  <si>
    <t>Average number of Cluster Disks per Cluster</t>
  </si>
  <si>
    <t>Total Cluster Disk performance per day</t>
  </si>
  <si>
    <t>Total Cluster Disk properties</t>
  </si>
  <si>
    <t>Describe your monitoring requirements and Hyper-V infrastructure</t>
  </si>
  <si>
    <t>Clusters and Cluster Disks</t>
  </si>
  <si>
    <t>VEEAM Management Pack 7.0 R2 for Hyper-V</t>
  </si>
  <si>
    <t>The Veeam MP Database Sizing Calculator will help you calculate the expected size of databases to store historical Hyper-V data and estimate the following deployment requirements:</t>
  </si>
  <si>
    <t>• Disk space required to store Hyper-V historical data in the Operational Database
• Disk space required to store Hyper-V historical data in the Reporting Data Warehouse</t>
  </si>
  <si>
    <t>• Hyper-V infrastructure inventory (number and configuration of objects in your Hyper-V infrastructure)
• Data collection and publication settings (as defined by performance collecting rules configuration)</t>
  </si>
  <si>
    <t>To estimate disk space required for the Operational Database and Data Warehouse:</t>
  </si>
  <si>
    <t>1. Investigate your Hyper-V infrastructure to find out the number of hosts, clusters, virtual machines and cluster disks to monitor as well as their configuration parameters.</t>
  </si>
  <si>
    <t>2. Determine the frequency of data collection and publication. Define an  interval at which data will be collected by performance collecting rules.</t>
  </si>
  <si>
    <r>
      <t xml:space="preserve">3. On the </t>
    </r>
    <r>
      <rPr>
        <b/>
        <sz val="10"/>
        <color indexed="8"/>
        <rFont val="Calibri"/>
        <family val="2"/>
        <charset val="204"/>
      </rPr>
      <t>Calculator</t>
    </r>
    <r>
      <rPr>
        <sz val="10"/>
        <color indexed="8"/>
        <rFont val="Calibri"/>
        <family val="2"/>
      </rPr>
      <t xml:space="preserve"> worksheet in the </t>
    </r>
    <r>
      <rPr>
        <b/>
        <sz val="10"/>
        <color indexed="8"/>
        <rFont val="Calibri"/>
        <family val="2"/>
        <charset val="204"/>
      </rPr>
      <t>Parameters</t>
    </r>
    <r>
      <rPr>
        <sz val="10"/>
        <color indexed="8"/>
        <rFont val="Calibri"/>
        <family val="2"/>
      </rPr>
      <t xml:space="preserve"> column,  enter information about your Hyper-V infrastructure inventory, data collection and publication settings. </t>
    </r>
    <r>
      <rPr>
        <sz val="10"/>
        <rFont val="Calibri"/>
        <family val="2"/>
        <charset val="204"/>
      </rPr>
      <t xml:space="preserve">Note that the </t>
    </r>
    <r>
      <rPr>
        <b/>
        <sz val="10"/>
        <color indexed="17"/>
        <rFont val="Calibri"/>
        <family val="2"/>
        <charset val="204"/>
      </rPr>
      <t>green</t>
    </r>
    <r>
      <rPr>
        <sz val="10"/>
        <color indexed="17"/>
        <rFont val="Calibri"/>
        <family val="2"/>
        <charset val="204"/>
      </rPr>
      <t xml:space="preserve"> </t>
    </r>
    <r>
      <rPr>
        <b/>
        <sz val="10"/>
        <color indexed="17"/>
        <rFont val="Calibri"/>
        <family val="2"/>
        <charset val="204"/>
      </rPr>
      <t>text color</t>
    </r>
    <r>
      <rPr>
        <sz val="10"/>
        <rFont val="Calibri"/>
        <family val="2"/>
        <charset val="204"/>
      </rPr>
      <t xml:space="preserve"> in cells indicates user-input values; the </t>
    </r>
    <r>
      <rPr>
        <b/>
        <sz val="10"/>
        <color indexed="23"/>
        <rFont val="Calibri"/>
        <family val="2"/>
        <charset val="204"/>
      </rPr>
      <t xml:space="preserve">grey text color </t>
    </r>
    <r>
      <rPr>
        <sz val="10"/>
        <rFont val="Calibri"/>
        <family val="2"/>
        <charset val="204"/>
      </rPr>
      <t>indicates that the values should not be changed.</t>
    </r>
  </si>
  <si>
    <r>
      <rPr>
        <b/>
        <sz val="11"/>
        <rFont val="Calibri"/>
        <family val="2"/>
        <charset val="204"/>
      </rPr>
      <t xml:space="preserve">NOTES:
</t>
    </r>
    <r>
      <rPr>
        <sz val="10"/>
        <color indexed="8"/>
        <rFont val="Calibri"/>
        <family val="2"/>
      </rPr>
      <t xml:space="preserve">1. The calculator provides approximate estimations. There might be some insignificant gaps between calculated results and real values.
2. The calculator provides estimations based on an assumtion that collected metric values are published with the same interval. However, some metrics may be collected using different (longer) intervals. As a result, the total volume of published data may be less than calculated.
3. In some situations you may deal with an infrastructure of a mixed type, for example if you are planning to utilize hosts with 4 Logical Processors and 20 LPs. To calculate the expected size of the databases, it is recommended to run calculation twice – once for each of the host types.
4. This calculator estimates the database size for Veeam Management Pack for Hyper-V only. Data collected by the Management Pack for Veeam Backup &amp; Replication or Veeam MP for VMware is not taken into account.
</t>
    </r>
  </si>
  <si>
    <t>Total per Cluster Disk per day</t>
  </si>
  <si>
    <t>Total per Cluster Disk per week</t>
  </si>
  <si>
    <t>Total per Cluster Disk per month</t>
  </si>
  <si>
    <t>Total per Cluster Disk per year</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</si>
</sst>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Calibri"/>
      <family val="2"/>
      <charset val="204"/>
      <scheme val="minor"/>
    </font>
    <font>
      <sz val="11"/>
      <color indexed="8"/>
      <name val="Calibri"/>
      <family val="2"/>
      <charset val="204"/>
    </font>
    <font>
      <b/>
      <sz val="11"/>
      <color indexed="8"/>
      <name val="Calibri"/>
      <family val="2"/>
      <charset val="204"/>
    </font>
    <font>
      <b/>
      <sz val="9"/>
      <color indexed="81"/>
      <name val="Tahoma"/>
      <family val="2"/>
      <charset val="204"/>
    </font>
    <font>
      <sz val="9"/>
      <color indexed="81"/>
      <name val="Tahoma"/>
      <family val="2"/>
      <charset val="204"/>
    </font>
    <font>
      <b/>
      <sz val="11"/>
      <name val="Calibri"/>
      <family val="2"/>
      <charset val="204"/>
    </font>
    <font>
      <b/>
      <sz val="10"/>
      <color indexed="8"/>
      <name val="Calibri"/>
      <family val="2"/>
      <charset val="204"/>
    </font>
    <font>
      <sz val="10"/>
      <color indexed="8"/>
      <name val="Calibri"/>
      <family val="2"/>
    </font>
    <font>
      <sz val="10"/>
      <name val="Calibri"/>
      <family val="2"/>
      <charset val="204"/>
    </font>
    <font>
      <b/>
      <sz val="10"/>
      <color indexed="17"/>
      <name val="Calibri"/>
      <family val="2"/>
      <charset val="204"/>
    </font>
    <font>
      <sz val="10"/>
      <color indexed="17"/>
      <name val="Calibri"/>
      <family val="2"/>
      <charset val="204"/>
    </font>
    <font>
      <b/>
      <sz val="10"/>
      <color indexed="23"/>
      <name val="Calibri"/>
      <family val="2"/>
      <charset val="204"/>
    </font>
    <font>
      <sz val="10"/>
      <color indexed="8"/>
      <name val="Calibri"/>
      <family val="2"/>
      <charset val="204"/>
    </font>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sz val="10"/>
      <color theme="1"/>
      <name val="Calibri"/>
      <family val="2"/>
      <scheme val="minor"/>
    </font>
    <font>
      <sz val="11"/>
      <color theme="1" tint="0.34998626667073579"/>
      <name val="Calibri"/>
      <family val="2"/>
      <charset val="204"/>
      <scheme val="minor"/>
    </font>
    <font>
      <b/>
      <sz val="12"/>
      <color theme="0"/>
      <name val="Calibri"/>
      <family val="2"/>
      <charset val="204"/>
      <scheme val="minor"/>
    </font>
    <font>
      <sz val="11"/>
      <name val="Calibri"/>
      <family val="2"/>
      <scheme val="minor"/>
    </font>
    <font>
      <b/>
      <sz val="11"/>
      <color rgb="FF00642D"/>
      <name val="Calibri"/>
      <family val="2"/>
      <charset val="204"/>
      <scheme val="minor"/>
    </font>
    <font>
      <sz val="11"/>
      <color theme="1" tint="0.499984740745262"/>
      <name val="Calibri"/>
      <family val="2"/>
      <scheme val="minor"/>
    </font>
    <font>
      <b/>
      <sz val="11"/>
      <color theme="1" tint="0.499984740745262"/>
      <name val="Calibri"/>
      <family val="2"/>
      <scheme val="minor"/>
    </font>
    <font>
      <b/>
      <sz val="11"/>
      <color rgb="FF006600"/>
      <name val="Calibri"/>
      <family val="2"/>
      <charset val="204"/>
      <scheme val="minor"/>
    </font>
    <font>
      <b/>
      <sz val="11"/>
      <name val="Calibri"/>
      <family val="2"/>
      <charset val="204"/>
      <scheme val="minor"/>
    </font>
    <font>
      <b/>
      <sz val="20"/>
      <color rgb="FF009644"/>
      <name val="Calibri"/>
      <family val="2"/>
      <charset val="204"/>
      <scheme val="minor"/>
    </font>
    <font>
      <b/>
      <sz val="20"/>
      <color theme="3" tint="0.39997558519241921"/>
      <name val="Calibri"/>
      <family val="2"/>
      <charset val="204"/>
      <scheme val="minor"/>
    </font>
    <font>
      <b/>
      <sz val="12"/>
      <color theme="1"/>
      <name val="Calibri"/>
      <family val="2"/>
      <charset val="204"/>
      <scheme val="minor"/>
    </font>
    <font>
      <b/>
      <sz val="12"/>
      <color rgb="FF00642D"/>
      <name val="Calibri"/>
      <family val="2"/>
      <charset val="204"/>
      <scheme val="minor"/>
    </font>
    <font>
      <b/>
      <sz val="12"/>
      <color theme="1" tint="0.499984740745262"/>
      <name val="Calibri"/>
      <family val="2"/>
      <charset val="204"/>
      <scheme val="minor"/>
    </font>
    <font>
      <sz val="12"/>
      <color rgb="FF009644"/>
      <name val="Calibri"/>
      <family val="2"/>
      <charset val="204"/>
      <scheme val="minor"/>
    </font>
    <font>
      <sz val="10"/>
      <color theme="1"/>
      <name val="Calibri"/>
      <family val="2"/>
      <charset val="204"/>
    </font>
    <font>
      <sz val="10"/>
      <name val="Calibri"/>
      <family val="2"/>
      <charset val="204"/>
      <scheme val="minor"/>
    </font>
    <font>
      <sz val="22"/>
      <color rgb="FF009644"/>
      <name val="Calibri"/>
      <family val="2"/>
      <charset val="204"/>
      <scheme val="minor"/>
    </font>
    <font>
      <sz val="11"/>
      <name val="Calibri"/>
      <family val="2"/>
      <charset val="204"/>
      <scheme val="minor"/>
    </font>
    <font>
      <sz val="11"/>
      <color rgb="FF006100"/>
      <name val="Calibri"/>
      <family val="2"/>
      <charset val="204"/>
      <scheme val="minor"/>
    </font>
    <font>
      <b/>
      <sz val="11"/>
      <color rgb="FF006600"/>
      <name val="Calibri"/>
      <family val="2"/>
      <scheme val="minor"/>
    </font>
    <font>
      <b/>
      <sz val="10"/>
      <name val="Calibri"/>
      <family val="2"/>
      <charset val="204"/>
    </font>
    <font>
      <sz val="11"/>
      <color theme="0"/>
      <name val="Calibri"/>
      <family val="2"/>
      <charset val="204"/>
      <scheme val="minor"/>
    </font>
  </fonts>
  <fills count="8">
    <fill>
      <patternFill patternType="none"/>
    </fill>
    <fill>
      <patternFill patternType="gray125"/>
    </fill>
    <fill>
      <patternFill patternType="solid">
        <fgColor rgb="FF009644"/>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D279"/>
        <bgColor indexed="64"/>
      </patternFill>
    </fill>
  </fills>
  <borders count="12">
    <border>
      <left/>
      <right/>
      <top/>
      <bottom/>
      <diagonal/>
    </border>
    <border>
      <left style="medium">
        <color indexed="64"/>
      </left>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1" tint="0.499984740745262"/>
      </left>
      <right/>
      <top/>
      <bottom/>
      <diagonal/>
    </border>
    <border>
      <left/>
      <right/>
      <top style="thin">
        <color theme="1" tint="0.499984740745262"/>
      </top>
      <bottom/>
      <diagonal/>
    </border>
    <border>
      <left/>
      <right/>
      <top style="thin">
        <color theme="0" tint="-4.9989318521683403E-2"/>
      </top>
      <bottom style="thin">
        <color theme="0" tint="-4.9989318521683403E-2"/>
      </bottom>
      <diagonal/>
    </border>
    <border>
      <left/>
      <right/>
      <top style="medium">
        <color rgb="FF009644"/>
      </top>
      <bottom/>
      <diagonal/>
    </border>
    <border>
      <left/>
      <right/>
      <top/>
      <bottom style="medium">
        <color rgb="FF00964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diagonal/>
    </border>
  </borders>
  <cellStyleXfs count="2">
    <xf numFmtId="0" fontId="0" fillId="0" borderId="0"/>
    <xf numFmtId="0" fontId="36" fillId="6" borderId="0" applyNumberFormat="0" applyBorder="0" applyAlignment="0" applyProtection="0"/>
  </cellStyleXfs>
  <cellXfs count="116">
    <xf numFmtId="0" fontId="0" fillId="0" borderId="0" xfId="0"/>
    <xf numFmtId="0" fontId="17" fillId="0" borderId="0" xfId="0" applyFont="1"/>
    <xf numFmtId="0" fontId="16" fillId="0" borderId="0" xfId="0" applyFont="1" applyBorder="1" applyAlignment="1">
      <alignment horizontal="left"/>
    </xf>
    <xf numFmtId="0" fontId="16" fillId="0" borderId="0" xfId="0" applyFont="1" applyBorder="1"/>
    <xf numFmtId="0" fontId="0" fillId="0" borderId="0" xfId="0" applyBorder="1"/>
    <xf numFmtId="0" fontId="0" fillId="0" borderId="1" xfId="0" applyFill="1" applyBorder="1"/>
    <xf numFmtId="0" fontId="18" fillId="0" borderId="0" xfId="0" applyFont="1" applyBorder="1"/>
    <xf numFmtId="0" fontId="19" fillId="2" borderId="0" xfId="0" applyFont="1" applyFill="1" applyBorder="1"/>
    <xf numFmtId="0" fontId="18" fillId="0" borderId="5" xfId="0" applyFont="1" applyBorder="1"/>
    <xf numFmtId="0" fontId="18" fillId="3" borderId="0" xfId="0" applyFont="1" applyFill="1" applyBorder="1"/>
    <xf numFmtId="0" fontId="18" fillId="0" borderId="6" xfId="0" applyFont="1" applyBorder="1"/>
    <xf numFmtId="0" fontId="19" fillId="2" borderId="0" xfId="0" applyFont="1" applyFill="1" applyBorder="1" applyAlignment="1">
      <alignment horizontal="center"/>
    </xf>
    <xf numFmtId="0" fontId="15" fillId="2" borderId="0" xfId="0" applyFont="1" applyFill="1" applyBorder="1"/>
    <xf numFmtId="0" fontId="19" fillId="2" borderId="0" xfId="0" applyFont="1" applyFill="1" applyBorder="1" applyAlignment="1">
      <alignment vertical="center"/>
    </xf>
    <xf numFmtId="0" fontId="20" fillId="0" borderId="7" xfId="0" applyFont="1" applyBorder="1"/>
    <xf numFmtId="0" fontId="21" fillId="0" borderId="7" xfId="0" applyFont="1" applyFill="1" applyBorder="1"/>
    <xf numFmtId="0" fontId="20" fillId="3" borderId="7" xfId="0" applyFont="1" applyFill="1" applyBorder="1"/>
    <xf numFmtId="0" fontId="21" fillId="3" borderId="7" xfId="0" applyFont="1" applyFill="1" applyBorder="1"/>
    <xf numFmtId="0" fontId="22" fillId="3" borderId="0" xfId="0" applyFont="1" applyFill="1" applyBorder="1" applyAlignment="1">
      <alignment horizontal="left"/>
    </xf>
    <xf numFmtId="0" fontId="18" fillId="0" borderId="0" xfId="0" applyFont="1" applyBorder="1" applyAlignment="1">
      <alignment horizontal="left"/>
    </xf>
    <xf numFmtId="0" fontId="24" fillId="3" borderId="0" xfId="0" applyFont="1" applyFill="1" applyBorder="1"/>
    <xf numFmtId="0" fontId="25" fillId="0" borderId="0" xfId="0" applyFont="1" applyFill="1" applyBorder="1"/>
    <xf numFmtId="0" fontId="26" fillId="0" borderId="0" xfId="0" applyFont="1" applyAlignment="1">
      <alignment horizontal="right"/>
    </xf>
    <xf numFmtId="0" fontId="27" fillId="0" borderId="0" xfId="0" applyFont="1"/>
    <xf numFmtId="0" fontId="14" fillId="0" borderId="0" xfId="0" applyFont="1"/>
    <xf numFmtId="0" fontId="19" fillId="4" borderId="0" xfId="0" applyFont="1" applyFill="1" applyBorder="1"/>
    <xf numFmtId="0" fontId="16" fillId="5" borderId="0" xfId="0" applyFont="1" applyFill="1" applyBorder="1" applyAlignment="1">
      <alignment horizontal="left" vertical="center"/>
    </xf>
    <xf numFmtId="0" fontId="0" fillId="5" borderId="0" xfId="0" applyFill="1" applyBorder="1" applyAlignment="1">
      <alignment horizontal="left"/>
    </xf>
    <xf numFmtId="0" fontId="25" fillId="5" borderId="0" xfId="0" applyFont="1" applyFill="1" applyBorder="1"/>
    <xf numFmtId="0" fontId="0" fillId="3" borderId="0" xfId="0" applyFill="1" applyBorder="1" applyAlignment="1">
      <alignment horizontal="left" vertical="center"/>
    </xf>
    <xf numFmtId="0" fontId="16" fillId="3" borderId="0" xfId="0" applyFont="1" applyFill="1" applyBorder="1" applyAlignment="1">
      <alignment horizontal="left"/>
    </xf>
    <xf numFmtId="0" fontId="0" fillId="0" borderId="0" xfId="0" applyFill="1" applyBorder="1" applyAlignment="1">
      <alignment horizontal="left"/>
    </xf>
    <xf numFmtId="0" fontId="0" fillId="3" borderId="0" xfId="0" applyFill="1" applyBorder="1" applyAlignment="1">
      <alignment horizontal="left"/>
    </xf>
    <xf numFmtId="0" fontId="22" fillId="0" borderId="0" xfId="0" applyFont="1" applyFill="1" applyBorder="1" applyAlignment="1">
      <alignment horizontal="left"/>
    </xf>
    <xf numFmtId="0" fontId="22" fillId="0" borderId="0" xfId="0" applyFont="1" applyFill="1" applyBorder="1" applyAlignment="1"/>
    <xf numFmtId="0" fontId="22" fillId="3" borderId="6" xfId="0" applyFont="1" applyFill="1" applyBorder="1" applyAlignment="1">
      <alignment horizontal="left"/>
    </xf>
    <xf numFmtId="0" fontId="22" fillId="3" borderId="6" xfId="0" applyFont="1" applyFill="1" applyBorder="1" applyAlignment="1"/>
    <xf numFmtId="0" fontId="22" fillId="3" borderId="0" xfId="0" applyFont="1" applyFill="1" applyBorder="1" applyAlignment="1"/>
    <xf numFmtId="0" fontId="22" fillId="0" borderId="0" xfId="0" applyFont="1"/>
    <xf numFmtId="0" fontId="28" fillId="0" borderId="6" xfId="0" applyFont="1" applyBorder="1" applyAlignment="1">
      <alignment horizontal="right"/>
    </xf>
    <xf numFmtId="0" fontId="29" fillId="0" borderId="6" xfId="0" applyFont="1" applyBorder="1"/>
    <xf numFmtId="0" fontId="0" fillId="0" borderId="6" xfId="0" applyBorder="1"/>
    <xf numFmtId="0" fontId="0" fillId="0" borderId="0" xfId="0" applyFill="1" applyBorder="1"/>
    <xf numFmtId="0" fontId="30" fillId="0" borderId="0" xfId="0" applyFont="1" applyFill="1" applyBorder="1"/>
    <xf numFmtId="0" fontId="28" fillId="0" borderId="0" xfId="0" applyFont="1" applyFill="1" applyBorder="1"/>
    <xf numFmtId="0" fontId="20" fillId="0" borderId="0" xfId="0" applyFont="1" applyAlignment="1">
      <alignment wrapText="1"/>
    </xf>
    <xf numFmtId="0" fontId="31" fillId="0" borderId="0" xfId="0" applyFont="1" applyBorder="1" applyAlignment="1">
      <alignment wrapText="1"/>
    </xf>
    <xf numFmtId="0" fontId="0" fillId="0" borderId="8" xfId="0" applyBorder="1"/>
    <xf numFmtId="0" fontId="31" fillId="0" borderId="8" xfId="0" applyFont="1" applyBorder="1" applyAlignment="1">
      <alignment horizontal="left" wrapText="1"/>
    </xf>
    <xf numFmtId="0" fontId="31" fillId="0" borderId="8" xfId="0" applyFont="1" applyBorder="1" applyAlignment="1">
      <alignment wrapText="1"/>
    </xf>
    <xf numFmtId="0" fontId="17" fillId="0" borderId="0" xfId="0" applyFont="1" applyBorder="1" applyAlignment="1">
      <alignment wrapText="1"/>
    </xf>
    <xf numFmtId="0" fontId="32" fillId="0" borderId="0" xfId="0" applyFont="1" applyBorder="1" applyAlignment="1">
      <alignment wrapText="1"/>
    </xf>
    <xf numFmtId="0" fontId="29" fillId="0" borderId="0" xfId="0" applyFont="1" applyBorder="1" applyAlignment="1">
      <alignment wrapText="1"/>
    </xf>
    <xf numFmtId="0" fontId="33" fillId="0" borderId="0" xfId="0" applyFont="1" applyFill="1" applyBorder="1" applyAlignment="1">
      <alignment wrapText="1"/>
    </xf>
    <xf numFmtId="0" fontId="0" fillId="0" borderId="9" xfId="0" applyBorder="1"/>
    <xf numFmtId="0" fontId="0" fillId="0" borderId="9" xfId="0" applyBorder="1" applyAlignment="1">
      <alignment wrapText="1"/>
    </xf>
    <xf numFmtId="0" fontId="17" fillId="0" borderId="9"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18" fillId="3" borderId="6" xfId="0" applyFont="1" applyFill="1" applyBorder="1"/>
    <xf numFmtId="0" fontId="18" fillId="3" borderId="0" xfId="0" applyFont="1" applyFill="1" applyBorder="1" applyAlignment="1">
      <alignment horizontal="left"/>
    </xf>
    <xf numFmtId="0" fontId="31" fillId="0" borderId="9" xfId="0" applyFont="1" applyBorder="1" applyAlignment="1">
      <alignment wrapText="1"/>
    </xf>
    <xf numFmtId="0" fontId="34" fillId="0" borderId="0" xfId="0" applyFont="1" applyAlignment="1">
      <alignment wrapText="1"/>
    </xf>
    <xf numFmtId="0" fontId="17" fillId="0" borderId="8" xfId="0" applyFont="1" applyBorder="1" applyAlignment="1">
      <alignment wrapText="1"/>
    </xf>
    <xf numFmtId="0" fontId="36" fillId="6" borderId="0" xfId="1" applyBorder="1"/>
    <xf numFmtId="0" fontId="37" fillId="0" borderId="0" xfId="0" applyFont="1"/>
    <xf numFmtId="0" fontId="24" fillId="0" borderId="0" xfId="0" applyFont="1" applyBorder="1"/>
    <xf numFmtId="0" fontId="25" fillId="7" borderId="0" xfId="0" applyFont="1" applyFill="1" applyBorder="1"/>
    <xf numFmtId="0" fontId="16" fillId="7" borderId="0" xfId="0" applyFont="1" applyFill="1" applyBorder="1"/>
    <xf numFmtId="0" fontId="22" fillId="5" borderId="0" xfId="0" applyFont="1" applyFill="1" applyBorder="1" applyAlignment="1">
      <alignment horizontal="left"/>
    </xf>
    <xf numFmtId="0" fontId="23" fillId="5" borderId="0" xfId="0" applyFont="1" applyFill="1" applyBorder="1" applyAlignment="1"/>
    <xf numFmtId="0" fontId="0" fillId="0" borderId="3" xfId="0" applyBorder="1"/>
    <xf numFmtId="0" fontId="0" fillId="0" borderId="2" xfId="0" applyBorder="1"/>
    <xf numFmtId="0" fontId="0" fillId="0" borderId="4" xfId="0" applyBorder="1"/>
    <xf numFmtId="0" fontId="18" fillId="3" borderId="10" xfId="0" applyFont="1" applyFill="1" applyBorder="1"/>
    <xf numFmtId="0" fontId="0" fillId="0" borderId="11" xfId="0" applyBorder="1"/>
    <xf numFmtId="0" fontId="19" fillId="2" borderId="10" xfId="0" applyFont="1" applyFill="1" applyBorder="1"/>
    <xf numFmtId="0" fontId="15" fillId="2" borderId="10" xfId="0" applyFont="1" applyFill="1" applyBorder="1" applyAlignment="1">
      <alignment horizontal="center"/>
    </xf>
    <xf numFmtId="0" fontId="15" fillId="2" borderId="10" xfId="0" applyFont="1" applyFill="1" applyBorder="1"/>
    <xf numFmtId="0" fontId="18" fillId="0" borderId="10" xfId="0" applyFont="1" applyBorder="1"/>
    <xf numFmtId="0" fontId="36" fillId="6" borderId="10" xfId="1" applyBorder="1"/>
    <xf numFmtId="0" fontId="24" fillId="0" borderId="7" xfId="0" applyFont="1" applyBorder="1" applyAlignment="1"/>
    <xf numFmtId="0" fontId="37" fillId="0" borderId="0" xfId="0" applyFont="1" applyBorder="1" applyAlignment="1"/>
    <xf numFmtId="0" fontId="37" fillId="3" borderId="0" xfId="0" applyFont="1" applyFill="1" applyBorder="1" applyAlignment="1"/>
    <xf numFmtId="0" fontId="37" fillId="5" borderId="0" xfId="0" applyFont="1" applyFill="1" applyBorder="1" applyAlignment="1"/>
    <xf numFmtId="0" fontId="35" fillId="0" borderId="7" xfId="0" applyFont="1" applyBorder="1" applyAlignment="1">
      <alignment horizontal="left"/>
    </xf>
    <xf numFmtId="0" fontId="20" fillId="0" borderId="0" xfId="0" applyFont="1" applyBorder="1" applyAlignment="1">
      <alignment horizontal="left"/>
    </xf>
    <xf numFmtId="0" fontId="20" fillId="3" borderId="0" xfId="0" applyFont="1" applyFill="1" applyBorder="1" applyAlignment="1">
      <alignment horizontal="left"/>
    </xf>
    <xf numFmtId="0" fontId="20" fillId="5" borderId="0" xfId="0" applyFont="1" applyFill="1" applyBorder="1" applyAlignment="1">
      <alignment horizontal="left"/>
    </xf>
    <xf numFmtId="0" fontId="35" fillId="0" borderId="0" xfId="0" applyFont="1" applyBorder="1"/>
    <xf numFmtId="0" fontId="18" fillId="5" borderId="10" xfId="0" applyFont="1" applyFill="1" applyBorder="1"/>
    <xf numFmtId="0" fontId="24" fillId="0" borderId="0" xfId="0" applyFont="1" applyBorder="1" applyAlignment="1"/>
    <xf numFmtId="0" fontId="24" fillId="3" borderId="0" xfId="0" applyFont="1" applyFill="1" applyBorder="1" applyAlignment="1"/>
    <xf numFmtId="0" fontId="24" fillId="0" borderId="6" xfId="0" applyFont="1" applyBorder="1" applyAlignment="1"/>
    <xf numFmtId="0" fontId="25" fillId="3" borderId="0" xfId="0" applyFont="1" applyFill="1" applyBorder="1"/>
    <xf numFmtId="0" fontId="17" fillId="0" borderId="8" xfId="0" applyFont="1" applyBorder="1" applyAlignment="1">
      <alignment horizontal="left" wrapText="1"/>
    </xf>
    <xf numFmtId="0" fontId="33" fillId="0" borderId="0" xfId="0" applyFont="1" applyFill="1" applyBorder="1" applyAlignment="1">
      <alignment horizontal="left" wrapText="1"/>
    </xf>
    <xf numFmtId="0" fontId="34" fillId="0" borderId="0" xfId="0" applyFont="1" applyAlignment="1">
      <alignment horizontal="left" wrapText="1"/>
    </xf>
    <xf numFmtId="0" fontId="17" fillId="0" borderId="0" xfId="0" applyFont="1" applyBorder="1" applyAlignment="1">
      <alignment horizontal="left" wrapText="1" indent="3"/>
    </xf>
    <xf numFmtId="0" fontId="31" fillId="0" borderId="9" xfId="0" applyFont="1" applyBorder="1" applyAlignment="1">
      <alignment horizontal="left" wrapText="1"/>
    </xf>
    <xf numFmtId="0" fontId="29" fillId="0" borderId="0" xfId="0" applyFont="1" applyBorder="1" applyAlignment="1">
      <alignment horizontal="left" wrapText="1"/>
    </xf>
    <xf numFmtId="0" fontId="32" fillId="3" borderId="0" xfId="0" applyFont="1" applyFill="1" applyBorder="1" applyAlignment="1">
      <alignment horizontal="left" vertical="top" wrapText="1" indent="1"/>
    </xf>
    <xf numFmtId="0" fontId="17" fillId="0" borderId="0" xfId="0" applyFont="1" applyBorder="1" applyAlignment="1">
      <alignment horizontal="left" wrapText="1"/>
    </xf>
    <xf numFmtId="0" fontId="32" fillId="0" borderId="0" xfId="0" applyFont="1" applyBorder="1" applyAlignment="1">
      <alignment horizontal="left" wrapText="1" indent="3"/>
    </xf>
    <xf numFmtId="0" fontId="32" fillId="0" borderId="0" xfId="0" applyFont="1" applyBorder="1" applyAlignment="1">
      <alignment horizontal="left" wrapText="1"/>
    </xf>
    <xf numFmtId="0" fontId="9" fillId="0" borderId="0" xfId="0" applyFont="1" applyBorder="1" applyAlignment="1">
      <alignment horizontal="left" wrapText="1"/>
    </xf>
    <xf numFmtId="0" fontId="20" fillId="0" borderId="0" xfId="0" applyFont="1" applyAlignment="1">
      <alignment horizontal="right" wrapText="1"/>
    </xf>
    <xf numFmtId="0" fontId="15" fillId="2" borderId="10" xfId="0" applyFont="1" applyFill="1" applyBorder="1" applyAlignment="1">
      <alignment horizontal="center"/>
    </xf>
    <xf numFmtId="0" fontId="19" fillId="2" borderId="10" xfId="0" applyFont="1" applyFill="1" applyBorder="1" applyAlignment="1">
      <alignment horizontal="center"/>
    </xf>
    <xf numFmtId="0" fontId="0" fillId="0" borderId="0" xfId="0" applyAlignment="1">
      <alignment horizontal="left" wrapText="1"/>
    </xf>
    <xf numFmtId="0" fontId="14" fillId="0" borderId="0" xfId="0" applyFont="1" applyAlignment="1">
      <alignment horizontal="left" wrapText="1" indent="3"/>
    </xf>
    <xf numFmtId="0" fontId="1" fillId="0" borderId="0" xfId="0" applyFont="1" applyAlignment="1">
      <alignment horizontal="left" wrapText="1"/>
    </xf>
    <xf numFmtId="0" fontId="9" fillId="0" borderId="0" xfId="0" applyFont="1" applyBorder="1" applyAlignment="1">
      <alignment horizontal="left" wrapText="1" indent="3"/>
    </xf>
    <xf numFmtId="0" fontId="15" fillId="5" borderId="0" xfId="0" applyFont="1" applyFill="1" applyBorder="1"/>
    <xf numFmtId="0" fontId="19" fillId="5" borderId="0" xfId="0" applyFont="1" applyFill="1" applyBorder="1"/>
    <xf numFmtId="0" fontId="39" fillId="5" borderId="0" xfId="0" applyFont="1" applyFill="1"/>
  </cellXfs>
  <cellStyles count="2">
    <cellStyle name="Good" xfId="1" builtinId="26"/>
    <cellStyle name="Normal" xfId="0" builtinId="0"/>
  </cellStyles>
  <dxfs count="0"/>
  <tableStyles count="0" defaultTableStyle="TableStyleMedium9" defaultPivotStyle="PivotStyleLight16"/>
  <colors>
    <mruColors>
      <color rgb="FF006600"/>
      <color rgb="FFFFD27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171450</xdr:colOff>
      <xdr:row>0</xdr:row>
      <xdr:rowOff>114300</xdr:rowOff>
    </xdr:from>
    <xdr:to>
      <xdr:col>15</xdr:col>
      <xdr:colOff>19050</xdr:colOff>
      <xdr:row>1</xdr:row>
      <xdr:rowOff>9525</xdr:rowOff>
    </xdr:to>
    <xdr:pic>
      <xdr:nvPicPr>
        <xdr:cNvPr id="3074" name="Picture 1" descr="veeam.png"/>
        <xdr:cNvPicPr>
          <a:picLocks noChangeAspect="1"/>
        </xdr:cNvPicPr>
      </xdr:nvPicPr>
      <xdr:blipFill>
        <a:blip xmlns:r="http://schemas.openxmlformats.org/officeDocument/2006/relationships" r:embed="rId1" cstate="print"/>
        <a:srcRect/>
        <a:stretch>
          <a:fillRect/>
        </a:stretch>
      </xdr:blipFill>
      <xdr:spPr bwMode="auto">
        <a:xfrm>
          <a:off x="7715250" y="114300"/>
          <a:ext cx="142875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1"/>
  <sheetViews>
    <sheetView showGridLines="0" tabSelected="1" workbookViewId="0">
      <selection activeCell="L15" sqref="L15"/>
    </sheetView>
  </sheetViews>
  <sheetFormatPr defaultColWidth="5.42578125" defaultRowHeight="15" x14ac:dyDescent="0.25"/>
  <cols>
    <col min="1" max="1" width="5.42578125" customWidth="1"/>
    <col min="2" max="10" width="9.140625" style="58" customWidth="1"/>
    <col min="11" max="11" width="3" style="58" customWidth="1"/>
    <col min="12" max="12" width="11.140625" customWidth="1"/>
    <col min="13" max="13" width="11.28515625" customWidth="1"/>
    <col min="14" max="14" width="12.140625" customWidth="1"/>
    <col min="15" max="15" width="11.5703125" customWidth="1"/>
    <col min="16" max="250" width="9.140625" customWidth="1"/>
    <col min="251" max="251" width="5.42578125" customWidth="1"/>
    <col min="252" max="255" width="9.140625" customWidth="1"/>
  </cols>
  <sheetData>
    <row r="1" spans="1:15" ht="34.5" customHeight="1" x14ac:dyDescent="0.45">
      <c r="B1" s="97" t="s">
        <v>109</v>
      </c>
      <c r="C1" s="97"/>
      <c r="D1" s="97"/>
      <c r="E1" s="97"/>
      <c r="F1" s="97"/>
      <c r="G1" s="97"/>
      <c r="H1" s="97"/>
      <c r="I1" s="97"/>
      <c r="J1" s="97"/>
      <c r="K1" s="62"/>
      <c r="N1" s="4"/>
    </row>
    <row r="2" spans="1:15" ht="18" customHeight="1" thickBot="1" x14ac:dyDescent="0.3">
      <c r="A2" s="54"/>
      <c r="B2" s="99" t="s">
        <v>0</v>
      </c>
      <c r="C2" s="99"/>
      <c r="D2" s="99"/>
      <c r="E2" s="99"/>
      <c r="F2" s="99"/>
      <c r="G2" s="99"/>
      <c r="H2" s="99"/>
      <c r="I2" s="99"/>
      <c r="J2" s="61"/>
      <c r="K2" s="46"/>
      <c r="L2" s="4"/>
      <c r="M2" s="4"/>
      <c r="N2" s="4"/>
      <c r="O2" s="4"/>
    </row>
    <row r="3" spans="1:15" ht="6.75" customHeight="1" x14ac:dyDescent="0.25">
      <c r="A3" s="47"/>
      <c r="B3" s="48"/>
      <c r="C3" s="48"/>
      <c r="D3" s="48"/>
      <c r="E3" s="48"/>
      <c r="F3" s="48"/>
      <c r="G3" s="48"/>
      <c r="H3" s="48"/>
      <c r="I3" s="49"/>
      <c r="J3" s="49"/>
      <c r="K3" s="49"/>
      <c r="L3" s="47"/>
      <c r="M3" s="47"/>
      <c r="N3" s="47"/>
      <c r="O3" s="47"/>
    </row>
    <row r="4" spans="1:15" ht="25.5" customHeight="1" x14ac:dyDescent="0.25">
      <c r="A4" s="4"/>
      <c r="B4" s="102" t="s">
        <v>110</v>
      </c>
      <c r="C4" s="102"/>
      <c r="D4" s="102"/>
      <c r="E4" s="102"/>
      <c r="F4" s="102"/>
      <c r="G4" s="102"/>
      <c r="H4" s="102"/>
      <c r="I4" s="102"/>
      <c r="J4" s="102"/>
      <c r="K4" s="50"/>
      <c r="L4" s="101" t="s">
        <v>117</v>
      </c>
      <c r="M4" s="101"/>
      <c r="N4" s="101"/>
      <c r="O4" s="101"/>
    </row>
    <row r="5" spans="1:15" ht="43.5" customHeight="1" x14ac:dyDescent="0.25">
      <c r="A5" s="4"/>
      <c r="B5" s="112" t="s">
        <v>111</v>
      </c>
      <c r="C5" s="103"/>
      <c r="D5" s="103"/>
      <c r="E5" s="103"/>
      <c r="F5" s="103"/>
      <c r="G5" s="103"/>
      <c r="H5" s="103"/>
      <c r="I5" s="103"/>
      <c r="J5" s="103"/>
      <c r="K5" s="51"/>
      <c r="L5" s="101"/>
      <c r="M5" s="101"/>
      <c r="N5" s="101"/>
      <c r="O5" s="101"/>
    </row>
    <row r="6" spans="1:15" ht="16.5" customHeight="1" x14ac:dyDescent="0.25">
      <c r="A6" s="4"/>
      <c r="B6" s="104" t="s">
        <v>1</v>
      </c>
      <c r="C6" s="104"/>
      <c r="D6" s="104"/>
      <c r="E6" s="104"/>
      <c r="F6" s="104"/>
      <c r="G6" s="104"/>
      <c r="H6" s="104"/>
      <c r="I6" s="104"/>
      <c r="J6" s="104"/>
      <c r="K6" s="51"/>
      <c r="L6" s="101"/>
      <c r="M6" s="101"/>
      <c r="N6" s="101"/>
      <c r="O6" s="101"/>
    </row>
    <row r="7" spans="1:15" ht="51.75" customHeight="1" x14ac:dyDescent="0.25">
      <c r="A7" s="4"/>
      <c r="B7" s="103" t="s">
        <v>112</v>
      </c>
      <c r="C7" s="103"/>
      <c r="D7" s="103"/>
      <c r="E7" s="103"/>
      <c r="F7" s="103"/>
      <c r="G7" s="103"/>
      <c r="H7" s="103"/>
      <c r="I7" s="103"/>
      <c r="J7" s="103"/>
      <c r="K7" s="51"/>
      <c r="L7" s="101"/>
      <c r="M7" s="101"/>
      <c r="N7" s="101"/>
      <c r="O7" s="101"/>
    </row>
    <row r="8" spans="1:15" ht="33.75" customHeight="1" x14ac:dyDescent="0.25">
      <c r="A8" s="4"/>
      <c r="B8" s="105" t="s">
        <v>93</v>
      </c>
      <c r="C8" s="105"/>
      <c r="D8" s="105"/>
      <c r="E8" s="105"/>
      <c r="F8" s="105"/>
      <c r="G8" s="105"/>
      <c r="H8" s="105"/>
      <c r="I8" s="105"/>
      <c r="J8" s="105"/>
      <c r="K8" s="51"/>
      <c r="L8" s="101"/>
      <c r="M8" s="101"/>
      <c r="N8" s="101"/>
      <c r="O8" s="101"/>
    </row>
    <row r="9" spans="1:15" ht="21" customHeight="1" x14ac:dyDescent="0.25">
      <c r="A9" s="4"/>
      <c r="B9" s="100" t="s">
        <v>2</v>
      </c>
      <c r="C9" s="100"/>
      <c r="D9" s="100"/>
      <c r="E9" s="100"/>
      <c r="F9" s="100"/>
      <c r="G9" s="100"/>
      <c r="H9" s="100"/>
      <c r="I9" s="100"/>
      <c r="J9" s="100"/>
      <c r="K9" s="52"/>
      <c r="L9" s="101"/>
      <c r="M9" s="101"/>
      <c r="N9" s="101"/>
      <c r="O9" s="101"/>
    </row>
    <row r="10" spans="1:15" ht="27.75" customHeight="1" x14ac:dyDescent="0.25">
      <c r="A10" s="4"/>
      <c r="B10" s="96" t="s">
        <v>113</v>
      </c>
      <c r="C10" s="96"/>
      <c r="D10" s="96"/>
      <c r="E10" s="96"/>
      <c r="F10" s="96"/>
      <c r="G10" s="96"/>
      <c r="H10" s="96"/>
      <c r="I10" s="96"/>
      <c r="J10" s="96"/>
      <c r="K10" s="53"/>
      <c r="L10" s="101"/>
      <c r="M10" s="101"/>
      <c r="N10" s="101"/>
      <c r="O10" s="101"/>
    </row>
    <row r="11" spans="1:15" ht="30" customHeight="1" x14ac:dyDescent="0.25">
      <c r="A11" s="4"/>
      <c r="B11" s="98" t="s">
        <v>114</v>
      </c>
      <c r="C11" s="98"/>
      <c r="D11" s="98"/>
      <c r="E11" s="98"/>
      <c r="F11" s="98"/>
      <c r="G11" s="98"/>
      <c r="H11" s="98"/>
      <c r="I11" s="98"/>
      <c r="J11" s="98"/>
      <c r="K11" s="50"/>
      <c r="L11" s="101"/>
      <c r="M11" s="101"/>
      <c r="N11" s="101"/>
      <c r="O11" s="101"/>
    </row>
    <row r="12" spans="1:15" ht="30.75" customHeight="1" x14ac:dyDescent="0.25">
      <c r="A12" s="4"/>
      <c r="B12" s="98" t="s">
        <v>115</v>
      </c>
      <c r="C12" s="98"/>
      <c r="D12" s="98"/>
      <c r="E12" s="98"/>
      <c r="F12" s="98"/>
      <c r="G12" s="98"/>
      <c r="H12" s="98"/>
      <c r="I12" s="98"/>
      <c r="J12" s="98"/>
      <c r="K12" s="50"/>
      <c r="L12" s="101"/>
      <c r="M12" s="101"/>
      <c r="N12" s="101"/>
      <c r="O12" s="101"/>
    </row>
    <row r="13" spans="1:15" ht="54" customHeight="1" x14ac:dyDescent="0.25">
      <c r="A13" s="4"/>
      <c r="B13" s="98" t="s">
        <v>116</v>
      </c>
      <c r="C13" s="98"/>
      <c r="D13" s="98"/>
      <c r="E13" s="98"/>
      <c r="F13" s="98"/>
      <c r="G13" s="98"/>
      <c r="H13" s="98"/>
      <c r="I13" s="98"/>
      <c r="J13" s="98"/>
      <c r="K13" s="50"/>
      <c r="L13" s="101"/>
      <c r="M13" s="101"/>
      <c r="N13" s="101"/>
      <c r="O13" s="101"/>
    </row>
    <row r="14" spans="1:15" ht="16.5" customHeight="1" x14ac:dyDescent="0.25">
      <c r="A14" s="4"/>
      <c r="B14" s="102" t="s">
        <v>3</v>
      </c>
      <c r="C14" s="102"/>
      <c r="D14" s="102"/>
      <c r="E14" s="102"/>
      <c r="F14" s="102"/>
      <c r="G14" s="102"/>
      <c r="H14" s="102"/>
      <c r="I14" s="102"/>
      <c r="J14" s="102"/>
      <c r="K14" s="50"/>
      <c r="L14" s="101"/>
      <c r="M14" s="101"/>
      <c r="N14" s="101"/>
      <c r="O14" s="101"/>
    </row>
    <row r="15" spans="1:15" ht="8.25" customHeight="1" thickBot="1" x14ac:dyDescent="0.3">
      <c r="A15" s="54"/>
      <c r="B15" s="55"/>
      <c r="C15" s="55"/>
      <c r="D15" s="55"/>
      <c r="E15" s="55"/>
      <c r="F15" s="55"/>
      <c r="G15" s="55"/>
      <c r="H15" s="55"/>
      <c r="I15" s="55"/>
      <c r="J15" s="55"/>
      <c r="K15" s="55"/>
      <c r="L15" s="56"/>
      <c r="M15" s="56"/>
      <c r="N15" s="56"/>
      <c r="O15" s="56"/>
    </row>
    <row r="16" spans="1:15" ht="15" customHeight="1" x14ac:dyDescent="0.25">
      <c r="A16" s="4"/>
      <c r="B16" s="95" t="s">
        <v>94</v>
      </c>
      <c r="C16" s="95"/>
      <c r="D16" s="95"/>
      <c r="E16" s="95"/>
      <c r="F16" s="95"/>
      <c r="G16" s="95"/>
      <c r="H16" s="95"/>
      <c r="I16" s="95"/>
      <c r="J16" s="95"/>
      <c r="K16" s="95"/>
      <c r="L16" s="63"/>
      <c r="M16" s="63"/>
      <c r="N16" s="50"/>
      <c r="O16" s="50"/>
    </row>
    <row r="17" spans="1:15" x14ac:dyDescent="0.25">
      <c r="A17" s="4"/>
      <c r="B17" s="57"/>
      <c r="C17" s="57"/>
      <c r="D17" s="57"/>
      <c r="E17" s="57"/>
      <c r="F17" s="57"/>
      <c r="G17" s="57"/>
      <c r="H17" s="57"/>
      <c r="I17" s="57"/>
      <c r="J17" s="57"/>
      <c r="K17" s="57"/>
      <c r="N17" s="4"/>
      <c r="O17" s="4"/>
    </row>
    <row r="18" spans="1:15" x14ac:dyDescent="0.25">
      <c r="N18" s="4"/>
      <c r="O18" s="4"/>
    </row>
    <row r="19" spans="1:15" x14ac:dyDescent="0.25">
      <c r="N19" s="4"/>
      <c r="O19" s="4"/>
    </row>
    <row r="20" spans="1:15" x14ac:dyDescent="0.25">
      <c r="N20" s="4"/>
      <c r="O20" s="4"/>
    </row>
    <row r="21" spans="1:15" x14ac:dyDescent="0.25">
      <c r="O21" s="4"/>
    </row>
  </sheetData>
  <mergeCells count="15">
    <mergeCell ref="L4:O14"/>
    <mergeCell ref="B4:J4"/>
    <mergeCell ref="B5:J5"/>
    <mergeCell ref="B6:J6"/>
    <mergeCell ref="B7:J7"/>
    <mergeCell ref="B8:J8"/>
    <mergeCell ref="B14:J14"/>
    <mergeCell ref="B16:K16"/>
    <mergeCell ref="B10:J10"/>
    <mergeCell ref="B1:J1"/>
    <mergeCell ref="B11:J11"/>
    <mergeCell ref="B12:J12"/>
    <mergeCell ref="B13:J13"/>
    <mergeCell ref="B2:I2"/>
    <mergeCell ref="B9:J9"/>
  </mergeCells>
  <pageMargins left="0.7" right="0.7" top="0.75" bottom="0.75" header="0.3" footer="0.3"/>
  <pageSetup paperSize="9" orientation="portrait"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9"/>
  <sheetViews>
    <sheetView showGridLines="0" zoomScale="90" zoomScaleNormal="90" workbookViewId="0">
      <selection activeCell="A6" sqref="A6"/>
    </sheetView>
  </sheetViews>
  <sheetFormatPr defaultRowHeight="15" x14ac:dyDescent="0.25"/>
  <cols>
    <col min="1" max="1" width="51.42578125" customWidth="1"/>
    <col min="2" max="2" width="19.28515625" customWidth="1"/>
    <col min="4" max="4" width="20.7109375" customWidth="1"/>
    <col min="5" max="5" width="35.42578125" bestFit="1" customWidth="1"/>
    <col min="6" max="6" width="27.42578125" customWidth="1"/>
    <col min="7" max="7" width="12.28515625" bestFit="1" customWidth="1"/>
    <col min="8" max="8" width="12.140625" bestFit="1" customWidth="1"/>
  </cols>
  <sheetData>
    <row r="1" spans="1:9" ht="26.25" x14ac:dyDescent="0.4">
      <c r="B1" s="22" t="s">
        <v>4</v>
      </c>
      <c r="E1" s="23" t="s">
        <v>5</v>
      </c>
    </row>
    <row r="2" spans="1:9" x14ac:dyDescent="0.25">
      <c r="I2" s="24"/>
    </row>
    <row r="3" spans="1:9" ht="15" customHeight="1" x14ac:dyDescent="0.25">
      <c r="A3" s="106" t="s">
        <v>107</v>
      </c>
      <c r="B3" s="106"/>
      <c r="C3" s="45"/>
      <c r="E3" s="25" t="s">
        <v>10</v>
      </c>
      <c r="F3" s="25"/>
      <c r="G3" s="25"/>
      <c r="I3" s="24"/>
    </row>
    <row r="4" spans="1:9" ht="15.75" x14ac:dyDescent="0.25">
      <c r="A4" s="13" t="s">
        <v>6</v>
      </c>
      <c r="B4" s="13" t="s">
        <v>7</v>
      </c>
      <c r="E4" s="26" t="s">
        <v>12</v>
      </c>
      <c r="F4" s="27" t="s">
        <v>13</v>
      </c>
      <c r="G4" s="28">
        <f>((B5*G14+B6*G22+B7*B10*G30+B7*'Metrics&amp;Counters'!B20)*B22+B5*G15+B6*G23+B7*B10*Calculator!G31+B7*('Metrics&amp;Counters'!B44+'Metrics&amp;Counters'!B50))/1024/1024</f>
        <v>8735.7780838012695</v>
      </c>
    </row>
    <row r="5" spans="1:9" x14ac:dyDescent="0.25">
      <c r="A5" s="14" t="s">
        <v>8</v>
      </c>
      <c r="B5" s="15">
        <v>1000</v>
      </c>
      <c r="E5" s="29"/>
      <c r="F5" s="30" t="s">
        <v>14</v>
      </c>
      <c r="G5" s="68">
        <f>G4/1024</f>
        <v>8.5310332849621773</v>
      </c>
    </row>
    <row r="6" spans="1:9" x14ac:dyDescent="0.25">
      <c r="A6" s="16" t="s">
        <v>9</v>
      </c>
      <c r="B6" s="17">
        <v>40</v>
      </c>
    </row>
    <row r="7" spans="1:9" ht="15.75" x14ac:dyDescent="0.25">
      <c r="A7" s="16" t="s">
        <v>11</v>
      </c>
      <c r="B7" s="17">
        <v>10</v>
      </c>
      <c r="E7" s="25" t="s">
        <v>16</v>
      </c>
      <c r="F7" s="25"/>
      <c r="G7" s="25"/>
    </row>
    <row r="8" spans="1:9" x14ac:dyDescent="0.25">
      <c r="A8" s="14"/>
      <c r="B8" s="15"/>
      <c r="E8" s="31" t="s">
        <v>17</v>
      </c>
      <c r="F8" s="31" t="s">
        <v>13</v>
      </c>
      <c r="G8" s="21">
        <f>(B5*G16+B6*G24+B7*B10*G32+(B7*'Metrics&amp;Counters'!C20)/1024)/1024</f>
        <v>920.99584579467773</v>
      </c>
    </row>
    <row r="9" spans="1:9" ht="15.75" x14ac:dyDescent="0.25">
      <c r="A9" s="7" t="s">
        <v>78</v>
      </c>
      <c r="B9" s="12"/>
      <c r="E9" s="32" t="s">
        <v>18</v>
      </c>
      <c r="F9" s="32" t="s">
        <v>13</v>
      </c>
      <c r="G9" s="94">
        <f>($B$5*G17+$B$6*G25+B7*B10*G33+($B$7*'Metrics&amp;Counters'!$C$20)/1024)/1024</f>
        <v>6442.2359275817871</v>
      </c>
    </row>
    <row r="10" spans="1:9" x14ac:dyDescent="0.25">
      <c r="A10" s="14" t="s">
        <v>104</v>
      </c>
      <c r="B10" s="81">
        <v>1</v>
      </c>
      <c r="E10" s="31" t="s">
        <v>20</v>
      </c>
      <c r="F10" s="31" t="s">
        <v>14</v>
      </c>
      <c r="G10" s="21">
        <f>($B$5*G18+$B$6*G26+B7*B10*G34+($B$7*'Metrics&amp;Counters'!$C$20)/1024)/1024/1024</f>
        <v>15.618498157709837</v>
      </c>
    </row>
    <row r="11" spans="1:9" ht="15.75" x14ac:dyDescent="0.25">
      <c r="A11" s="7" t="s">
        <v>86</v>
      </c>
      <c r="B11" s="12"/>
      <c r="E11" s="32" t="s">
        <v>21</v>
      </c>
      <c r="F11" s="32" t="s">
        <v>14</v>
      </c>
      <c r="G11" s="94">
        <f>($B$5*G19+$B$6*G27+B7*B10*G35+($B$7*'Metrics&amp;Counters'!$C$20)/1024)/1024/1024</f>
        <v>126.69334476813674</v>
      </c>
    </row>
    <row r="12" spans="1:9" x14ac:dyDescent="0.25">
      <c r="A12" s="85" t="s">
        <v>79</v>
      </c>
      <c r="B12" s="81">
        <v>90</v>
      </c>
      <c r="E12" s="26" t="s">
        <v>12</v>
      </c>
      <c r="F12" s="31" t="s">
        <v>14</v>
      </c>
      <c r="G12" s="67">
        <f>($B$5*G20+$B$6*G28+B7*B10*G36+($B$7*'Metrics&amp;Counters'!$C$20)/1024)/1024/1024</f>
        <v>138.2981794886291</v>
      </c>
    </row>
    <row r="13" spans="1:9" ht="15.75" x14ac:dyDescent="0.25">
      <c r="A13" s="7" t="s">
        <v>19</v>
      </c>
      <c r="B13" s="12"/>
    </row>
    <row r="14" spans="1:9" x14ac:dyDescent="0.25">
      <c r="A14" s="86" t="s">
        <v>99</v>
      </c>
      <c r="B14" s="82">
        <v>20</v>
      </c>
      <c r="E14" s="18" t="s">
        <v>22</v>
      </c>
      <c r="F14" s="18" t="s">
        <v>23</v>
      </c>
      <c r="G14" s="37">
        <f>('Metrics&amp;Counters'!B4)+'Metrics&amp;Counters'!B5*Calculator!B12/100+'Metrics&amp;Counters'!C6*'Metrics&amp;Counters'!B27*B28+'Metrics&amp;Counters'!C7*'Metrics&amp;Counters'!B28*B28+'Metrics&amp;Counters'!C8*'Metrics&amp;Counters'!B29*B28+'Metrics&amp;Counters'!C9*'Metrics&amp;Counters'!B30</f>
        <v>1187120</v>
      </c>
    </row>
    <row r="15" spans="1:9" x14ac:dyDescent="0.25">
      <c r="A15" s="87" t="s">
        <v>83</v>
      </c>
      <c r="B15" s="83">
        <v>8</v>
      </c>
      <c r="E15" s="33" t="s">
        <v>24</v>
      </c>
      <c r="F15" s="33" t="s">
        <v>23</v>
      </c>
      <c r="G15" s="34">
        <f>'Metrics&amp;Counters'!B48+'Metrics&amp;Counters'!B50</f>
        <v>7308</v>
      </c>
    </row>
    <row r="16" spans="1:9" x14ac:dyDescent="0.25">
      <c r="A16" s="88" t="s">
        <v>100</v>
      </c>
      <c r="B16" s="84">
        <v>4</v>
      </c>
      <c r="E16" s="35" t="s">
        <v>25</v>
      </c>
      <c r="F16" s="35" t="s">
        <v>26</v>
      </c>
      <c r="G16" s="36">
        <f>('Metrics&amp;Counters'!C4+'Metrics&amp;Counters'!C5*Calculator!B12/100)/1024+('Metrics&amp;Counters'!C6*'Metrics&amp;Counters'!C27*B28+'Metrics&amp;Counters'!C7*'Metrics&amp;Counters'!C28*B28+'Metrics&amp;Counters'!C8*'Metrics&amp;Counters'!B36*'Metrics&amp;Counters'!F48*B28+'Metrics&amp;Counters'!B37*24*'Metrics&amp;Counters'!F48*B28+'Metrics&amp;Counters'!B38*'Metrics&amp;Counters'!F48*B28+'Metrics&amp;Counters'!C9*'Metrics&amp;Counters'!C30)/1024</f>
        <v>855.82421875</v>
      </c>
    </row>
    <row r="17" spans="1:7" x14ac:dyDescent="0.25">
      <c r="A17" s="87" t="s">
        <v>103</v>
      </c>
      <c r="B17" s="83">
        <v>3</v>
      </c>
      <c r="E17" s="33" t="s">
        <v>27</v>
      </c>
      <c r="F17" s="33" t="s">
        <v>26</v>
      </c>
      <c r="G17" s="34">
        <f>G16*7-IF(B26&lt;7,(('Metrics&amp;Counters'!B33*'Metrics&amp;Counters'!D48*'Metrics&amp;Counters'!E48*B28)/1024)*(7-Calculator!B26),0)</f>
        <v>5990.76953125</v>
      </c>
    </row>
    <row r="18" spans="1:7" x14ac:dyDescent="0.25">
      <c r="A18" s="69" t="s">
        <v>101</v>
      </c>
      <c r="B18" s="70">
        <v>0</v>
      </c>
      <c r="E18" s="18" t="s">
        <v>28</v>
      </c>
      <c r="F18" s="18" t="s">
        <v>26</v>
      </c>
      <c r="G18" s="37">
        <f>G16*30-IF(B26&lt;30,(('Metrics&amp;Counters'!B33*'Metrics&amp;Counters'!D48*'Metrics&amp;Counters'!E48*B28)/1024)*(30-Calculator!B26),0)</f>
        <v>15212.2265625</v>
      </c>
    </row>
    <row r="19" spans="1:7" ht="15.75" x14ac:dyDescent="0.25">
      <c r="A19" s="7" t="s">
        <v>98</v>
      </c>
      <c r="B19" s="20">
        <v>5</v>
      </c>
      <c r="E19" s="33" t="s">
        <v>29</v>
      </c>
      <c r="F19" s="33" t="s">
        <v>26</v>
      </c>
      <c r="G19" s="34">
        <f>G16*365-IF(B26&lt;365,(('Metrics&amp;Counters'!B33*'Metrics&amp;Counters'!D48*'Metrics&amp;Counters'!E48*B28)/1024)*(365-Calculator!B26),0)</f>
        <v>126666.46484375</v>
      </c>
    </row>
    <row r="20" spans="1:7" x14ac:dyDescent="0.25">
      <c r="E20" s="18" t="s">
        <v>91</v>
      </c>
      <c r="F20" s="18" t="s">
        <v>26</v>
      </c>
      <c r="G20" s="37">
        <f>G16*B24-IF(B26&lt;B24,(('Metrics&amp;Counters'!B33*'Metrics&amp;Counters'!D48*'Metrics&amp;Counters'!E48*B28)/1024)*(B24-Calculator!B26),0)</f>
        <v>138310.9375</v>
      </c>
    </row>
    <row r="21" spans="1:7" ht="15.75" x14ac:dyDescent="0.25">
      <c r="A21" s="7" t="s">
        <v>41</v>
      </c>
      <c r="B21" s="11" t="s">
        <v>42</v>
      </c>
      <c r="E21" s="38"/>
      <c r="F21" s="38"/>
      <c r="G21" s="38"/>
    </row>
    <row r="22" spans="1:7" x14ac:dyDescent="0.25">
      <c r="A22" s="89" t="s">
        <v>43</v>
      </c>
      <c r="B22" s="65">
        <v>7</v>
      </c>
      <c r="E22" s="18" t="s">
        <v>31</v>
      </c>
      <c r="F22" s="18" t="s">
        <v>23</v>
      </c>
      <c r="G22" s="37">
        <f>(Calculator!B15*'Metrics&amp;Counters'!B13+'Metrics&amp;Counters'!B12)+'Metrics&amp;Counters'!C14*'Metrics&amp;Counters'!B27+'Metrics&amp;Counters'!C15*'Metrics&amp;Counters'!B28+'Metrics&amp;Counters'!C16*'Metrics&amp;Counters'!B29+'Metrics&amp;Counters'!C17*'Metrics&amp;Counters'!B30</f>
        <v>2616080</v>
      </c>
    </row>
    <row r="23" spans="1:7" ht="15.75" x14ac:dyDescent="0.25">
      <c r="A23" s="7" t="s">
        <v>85</v>
      </c>
      <c r="B23" s="11" t="s">
        <v>42</v>
      </c>
      <c r="E23" s="33" t="s">
        <v>32</v>
      </c>
      <c r="F23" s="33" t="s">
        <v>23</v>
      </c>
      <c r="G23" s="34">
        <f>'Metrics&amp;Counters'!B45+'Metrics&amp;Counters'!B50+'Metrics&amp;Counters'!B46*Calculator!B15</f>
        <v>25408</v>
      </c>
    </row>
    <row r="24" spans="1:7" x14ac:dyDescent="0.25">
      <c r="A24" s="89" t="s">
        <v>43</v>
      </c>
      <c r="B24" s="66">
        <v>400</v>
      </c>
      <c r="E24" s="35" t="s">
        <v>33</v>
      </c>
      <c r="F24" s="35" t="s">
        <v>26</v>
      </c>
      <c r="G24" s="36">
        <f>('Metrics&amp;Counters'!C12+Calculator!B15*'Metrics&amp;Counters'!C13)/1024+('Metrics&amp;Counters'!C14*'Metrics&amp;Counters'!C27+'Metrics&amp;Counters'!C15*'Metrics&amp;Counters'!C28+'Metrics&amp;Counters'!C16*'Metrics&amp;Counters'!B36*('Metrics&amp;Counters'!F45+Calculator!B15*'Metrics&amp;Counters'!F46)+'Metrics&amp;Counters'!B37*24*('Metrics&amp;Counters'!F45++Calculator!B15*'Metrics&amp;Counters'!F46)+'Metrics&amp;Counters'!B38*('Metrics&amp;Counters'!F45+Calculator!B15*'Metrics&amp;Counters'!F46))/1024</f>
        <v>1903.4853515625</v>
      </c>
    </row>
    <row r="25" spans="1:7" ht="15.75" x14ac:dyDescent="0.25">
      <c r="A25" s="7" t="s">
        <v>84</v>
      </c>
      <c r="B25" s="11" t="s">
        <v>42</v>
      </c>
      <c r="E25" s="33" t="s">
        <v>34</v>
      </c>
      <c r="F25" s="33" t="s">
        <v>26</v>
      </c>
      <c r="G25" s="34">
        <f>G24*7-IF(B26&lt;7,(('Metrics&amp;Counters'!D45*'Metrics&amp;Counters'!E45*'Metrics&amp;Counters'!B33+Calculator!B15*'Metrics&amp;Counters'!D46*'Metrics&amp;Counters'!E46*'Metrics&amp;Counters'!B33)/1024)*(7-Calculator!B26),0)</f>
        <v>13324.3974609375</v>
      </c>
    </row>
    <row r="26" spans="1:7" x14ac:dyDescent="0.25">
      <c r="A26" s="89" t="s">
        <v>43</v>
      </c>
      <c r="B26" s="65">
        <v>10</v>
      </c>
      <c r="E26" s="18" t="s">
        <v>35</v>
      </c>
      <c r="F26" s="18" t="s">
        <v>26</v>
      </c>
      <c r="G26" s="37">
        <f>G24*30-IF(B26&lt;30,(('Metrics&amp;Counters'!D45*'Metrics&amp;Counters'!E45*'Metrics&amp;Counters'!B33+Calculator!B15*'Metrics&amp;Counters'!D46*'Metrics&amp;Counters'!E46*'Metrics&amp;Counters'!B33)/1024)*(30-Calculator!B26),0)</f>
        <v>25717.060546875</v>
      </c>
    </row>
    <row r="27" spans="1:7" x14ac:dyDescent="0.25">
      <c r="E27" s="33" t="s">
        <v>36</v>
      </c>
      <c r="F27" s="33" t="s">
        <v>26</v>
      </c>
      <c r="G27" s="34">
        <f>G24*365-IF(B26&lt;365,(('Metrics&amp;Counters'!D45*'Metrics&amp;Counters'!E45*'Metrics&amp;Counters'!B33+Calculator!B15*'Metrics&amp;Counters'!D46*'Metrics&amp;Counters'!E46*'Metrics&amp;Counters'!B33)/1024)*(365-Calculator!B26),0)</f>
        <v>137644.0283203125</v>
      </c>
    </row>
    <row r="28" spans="1:7" ht="15.75" x14ac:dyDescent="0.25">
      <c r="A28" s="114" t="s">
        <v>96</v>
      </c>
      <c r="B28" s="113">
        <v>1</v>
      </c>
      <c r="E28" s="18" t="s">
        <v>92</v>
      </c>
      <c r="F28" s="18" t="s">
        <v>26</v>
      </c>
      <c r="G28" s="37">
        <f>G24*B24-IF(B26&lt;B24,(('Metrics&amp;Counters'!D45*'Metrics&amp;Counters'!E45*'Metrics&amp;Counters'!B33+Calculator!B15*'Metrics&amp;Counters'!D46*'Metrics&amp;Counters'!E46*'Metrics&amp;Counters'!B33)/1024)*(B24-Calculator!B26),0)</f>
        <v>149337.890625</v>
      </c>
    </row>
    <row r="29" spans="1:7" x14ac:dyDescent="0.25">
      <c r="A29" s="115" t="s">
        <v>97</v>
      </c>
      <c r="B29" s="115"/>
      <c r="E29" s="33"/>
      <c r="F29" s="33"/>
      <c r="G29" s="34"/>
    </row>
    <row r="30" spans="1:7" ht="15" customHeight="1" x14ac:dyDescent="0.25">
      <c r="E30" s="18" t="s">
        <v>105</v>
      </c>
      <c r="F30" s="18" t="s">
        <v>23</v>
      </c>
      <c r="G30" s="37">
        <f>('Metrics&amp;Counters'!B21)+'Metrics&amp;Counters'!C22*'Metrics&amp;Counters'!B27+'Metrics&amp;Counters'!C23*'Metrics&amp;Counters'!B28+'Metrics&amp;Counters'!C24*'Metrics&amp;Counters'!B29+'Metrics&amp;Counters'!C25*'Metrics&amp;Counters'!B30</f>
        <v>1447080</v>
      </c>
    </row>
    <row r="31" spans="1:7" x14ac:dyDescent="0.25">
      <c r="B31" s="113"/>
      <c r="E31" s="33" t="s">
        <v>106</v>
      </c>
      <c r="F31" s="33" t="s">
        <v>23</v>
      </c>
      <c r="G31" s="34">
        <f>'Metrics&amp;Counters'!B47+'Metrics&amp;Counters'!B50</f>
        <v>4908</v>
      </c>
    </row>
    <row r="32" spans="1:7" x14ac:dyDescent="0.25">
      <c r="E32" s="35" t="s">
        <v>118</v>
      </c>
      <c r="F32" s="35" t="s">
        <v>26</v>
      </c>
      <c r="G32" s="36">
        <f>('Metrics&amp;Counters'!C21)/1024+('Metrics&amp;Counters'!C22*'Metrics&amp;Counters'!C27+'Metrics&amp;Counters'!C23*'Metrics&amp;Counters'!C28+'Metrics&amp;Counters'!C24*'Metrics&amp;Counters'!B36*'Metrics&amp;Counters'!F47+'Metrics&amp;Counters'!B37*24*'Metrics&amp;Counters'!F47+'Metrics&amp;Counters'!B38*'Metrics&amp;Counters'!F47)/1024</f>
        <v>1032.80078125</v>
      </c>
    </row>
    <row r="33" spans="1:7" x14ac:dyDescent="0.25">
      <c r="E33" s="33" t="s">
        <v>119</v>
      </c>
      <c r="F33" s="33" t="s">
        <v>26</v>
      </c>
      <c r="G33" s="34">
        <f>G32*7-IF(B26&lt;7,(('Metrics&amp;Counters'!B33*'Metrics&amp;Counters'!D47*'Metrics&amp;Counters'!E47)/1024)*(7-Calculator!B26),0)</f>
        <v>7229.60546875</v>
      </c>
    </row>
    <row r="34" spans="1:7" x14ac:dyDescent="0.25">
      <c r="E34" s="18" t="s">
        <v>120</v>
      </c>
      <c r="F34" s="18" t="s">
        <v>26</v>
      </c>
      <c r="G34" s="37">
        <f>G32*30-IF(B26&lt;30,(('Metrics&amp;Counters'!B33*'Metrics&amp;Counters'!D47*'Metrics&amp;Counters'!E47)/1024)*(30-Calculator!B26),0)</f>
        <v>13546.5234375</v>
      </c>
    </row>
    <row r="35" spans="1:7" x14ac:dyDescent="0.25">
      <c r="E35" s="33" t="s">
        <v>121</v>
      </c>
      <c r="F35" s="33" t="s">
        <v>26</v>
      </c>
      <c r="G35" s="34">
        <f>G32*365-IF(B26&lt;365,(('Metrics&amp;Counters'!B33*'Metrics&amp;Counters'!D47*'Metrics&amp;Counters'!E47)/1024)*(365-Calculator!B26),0)</f>
        <v>67456.66015625</v>
      </c>
    </row>
    <row r="36" spans="1:7" x14ac:dyDescent="0.25">
      <c r="E36" s="18" t="s">
        <v>121</v>
      </c>
      <c r="F36" s="18" t="s">
        <v>26</v>
      </c>
      <c r="G36" s="37">
        <f>G32*B24-IF(B26&lt;B24,(('Metrics&amp;Counters'!B33*'Metrics&amp;Counters'!D47*'Metrics&amp;Counters'!E47)/1024)*(B24-Calculator!B26),0)</f>
        <v>73089.0625</v>
      </c>
    </row>
    <row r="38" spans="1:7" ht="15.75" x14ac:dyDescent="0.25">
      <c r="E38" s="39" t="s">
        <v>37</v>
      </c>
      <c r="F38" s="40" t="s">
        <v>38</v>
      </c>
      <c r="G38" s="41"/>
    </row>
    <row r="39" spans="1:7" ht="15.75" x14ac:dyDescent="0.25">
      <c r="E39" s="42"/>
      <c r="F39" s="43" t="s">
        <v>39</v>
      </c>
      <c r="G39" s="42"/>
    </row>
    <row r="40" spans="1:7" ht="15.75" x14ac:dyDescent="0.25">
      <c r="E40" s="42"/>
      <c r="F40" s="44" t="s">
        <v>40</v>
      </c>
      <c r="G40" s="42"/>
    </row>
    <row r="45" spans="1:7" x14ac:dyDescent="0.25">
      <c r="A45" s="2"/>
    </row>
    <row r="46" spans="1:7" x14ac:dyDescent="0.25">
      <c r="A46" s="2"/>
      <c r="B46" s="3"/>
    </row>
    <row r="47" spans="1:7" x14ac:dyDescent="0.25">
      <c r="A47" s="2"/>
      <c r="B47" s="3"/>
    </row>
    <row r="48" spans="1:7" x14ac:dyDescent="0.25">
      <c r="B48" s="3"/>
    </row>
    <row r="49" spans="1:1" x14ac:dyDescent="0.25">
      <c r="A49" s="1"/>
    </row>
  </sheetData>
  <mergeCells count="1">
    <mergeCell ref="A3:B3"/>
  </mergeCells>
  <pageMargins left="0.7" right="0.7" top="0.75" bottom="0.75" header="0.3" footer="0.3"/>
  <pageSetup paperSize="9" orientation="portrait" verticalDpi="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53"/>
  <sheetViews>
    <sheetView showGridLines="0" topLeftCell="A28" zoomScale="90" zoomScaleNormal="90" workbookViewId="0">
      <selection activeCell="B47" sqref="B47"/>
    </sheetView>
  </sheetViews>
  <sheetFormatPr defaultRowHeight="15" x14ac:dyDescent="0.25"/>
  <cols>
    <col min="1" max="1" width="42.28515625" bestFit="1" customWidth="1"/>
    <col min="2" max="2" width="19" customWidth="1"/>
    <col min="3" max="3" width="19" bestFit="1" customWidth="1"/>
    <col min="4" max="4" width="19" customWidth="1"/>
    <col min="5" max="5" width="8.140625" customWidth="1"/>
    <col min="6" max="6" width="17" bestFit="1" customWidth="1"/>
    <col min="7" max="7" width="36" customWidth="1"/>
    <col min="8" max="8" width="29.42578125" customWidth="1"/>
    <col min="9" max="9" width="14.85546875" customWidth="1"/>
  </cols>
  <sheetData>
    <row r="1" spans="1:7" x14ac:dyDescent="0.25">
      <c r="A1" s="5"/>
    </row>
    <row r="2" spans="1:7" ht="15.75" x14ac:dyDescent="0.25">
      <c r="A2" s="7" t="s">
        <v>15</v>
      </c>
      <c r="B2" s="7" t="s">
        <v>44</v>
      </c>
      <c r="C2" s="7" t="s">
        <v>16</v>
      </c>
    </row>
    <row r="3" spans="1:7" x14ac:dyDescent="0.25">
      <c r="A3" s="6" t="s">
        <v>45</v>
      </c>
      <c r="B3" s="6"/>
      <c r="C3" s="6"/>
      <c r="E3" s="109" t="s">
        <v>46</v>
      </c>
      <c r="F3" s="109"/>
      <c r="G3" s="109"/>
    </row>
    <row r="4" spans="1:7" x14ac:dyDescent="0.25">
      <c r="A4" s="9" t="s">
        <v>47</v>
      </c>
      <c r="B4" s="64">
        <f xml:space="preserve"> B53 * (C48)*D48*Calculator!B28</f>
        <v>864000</v>
      </c>
      <c r="C4" s="64">
        <f xml:space="preserve"> E48*(B33*D48 + B34*24+B35)*Calculator!B28</f>
        <v>620625</v>
      </c>
      <c r="E4" s="109"/>
      <c r="F4" s="109"/>
      <c r="G4" s="109"/>
    </row>
    <row r="5" spans="1:7" ht="15" customHeight="1" x14ac:dyDescent="0.25">
      <c r="A5" s="6" t="s">
        <v>81</v>
      </c>
      <c r="B5" s="64">
        <f>B53*C49*D49*Calculator!B28</f>
        <v>345600</v>
      </c>
      <c r="C5" s="64">
        <f xml:space="preserve"> E49*(B33*D49 + B34*24+B35)*Calculator!B28</f>
        <v>248250</v>
      </c>
      <c r="E5" s="110" t="s">
        <v>48</v>
      </c>
      <c r="F5" s="110"/>
      <c r="G5" s="110"/>
    </row>
    <row r="6" spans="1:7" x14ac:dyDescent="0.25">
      <c r="A6" s="59" t="s">
        <v>49</v>
      </c>
      <c r="B6" s="92"/>
      <c r="C6" s="92">
        <v>0</v>
      </c>
      <c r="E6" s="110"/>
      <c r="F6" s="110"/>
      <c r="G6" s="110"/>
    </row>
    <row r="7" spans="1:7" x14ac:dyDescent="0.25">
      <c r="A7" s="6" t="s">
        <v>50</v>
      </c>
      <c r="C7" s="91">
        <v>2</v>
      </c>
      <c r="E7" s="110"/>
      <c r="F7" s="110"/>
      <c r="G7" s="110"/>
    </row>
    <row r="8" spans="1:7" x14ac:dyDescent="0.25">
      <c r="A8" s="9" t="s">
        <v>51</v>
      </c>
      <c r="B8" s="92"/>
      <c r="C8" s="92">
        <v>4</v>
      </c>
      <c r="E8" s="110"/>
      <c r="F8" s="110"/>
      <c r="G8" s="110"/>
    </row>
    <row r="9" spans="1:7" ht="15" customHeight="1" x14ac:dyDescent="0.25">
      <c r="A9" s="6" t="s">
        <v>88</v>
      </c>
      <c r="C9" s="91">
        <v>0.5</v>
      </c>
      <c r="E9" s="111" t="s">
        <v>95</v>
      </c>
      <c r="F9" s="109"/>
      <c r="G9" s="109"/>
    </row>
    <row r="10" spans="1:7" ht="15.75" x14ac:dyDescent="0.25">
      <c r="A10" s="7" t="s">
        <v>19</v>
      </c>
      <c r="B10" s="7" t="s">
        <v>44</v>
      </c>
      <c r="C10" s="7" t="s">
        <v>16</v>
      </c>
      <c r="E10" s="58"/>
      <c r="F10" s="58"/>
      <c r="G10" s="58"/>
    </row>
    <row r="11" spans="1:7" x14ac:dyDescent="0.25">
      <c r="A11" s="6" t="s">
        <v>45</v>
      </c>
      <c r="B11" s="6"/>
      <c r="C11" s="6"/>
      <c r="D11" s="6"/>
      <c r="E11" s="58"/>
      <c r="F11" s="58"/>
      <c r="G11" s="58"/>
    </row>
    <row r="12" spans="1:7" x14ac:dyDescent="0.25">
      <c r="A12" s="9" t="s">
        <v>52</v>
      </c>
      <c r="B12" s="64">
        <f xml:space="preserve"> B53*C45 *D45</f>
        <v>2131200</v>
      </c>
      <c r="C12" s="64">
        <f xml:space="preserve"> E45*(B33*D45 + B34*24+B35)</f>
        <v>1530875</v>
      </c>
      <c r="D12" s="6"/>
      <c r="E12" s="58"/>
      <c r="F12" s="58"/>
      <c r="G12" s="58"/>
    </row>
    <row r="13" spans="1:7" x14ac:dyDescent="0.25">
      <c r="A13" s="9" t="s">
        <v>82</v>
      </c>
      <c r="B13" s="64">
        <f xml:space="preserve"> B53*C46 *D46</f>
        <v>57600</v>
      </c>
      <c r="C13" s="64">
        <f xml:space="preserve"> E46*(B33*D46 + B34*24+B35)</f>
        <v>41375</v>
      </c>
      <c r="D13" s="6"/>
    </row>
    <row r="14" spans="1:7" x14ac:dyDescent="0.25">
      <c r="A14" s="9" t="s">
        <v>49</v>
      </c>
      <c r="B14" s="9"/>
      <c r="C14" s="92">
        <v>4</v>
      </c>
      <c r="D14" s="6"/>
    </row>
    <row r="15" spans="1:7" x14ac:dyDescent="0.25">
      <c r="A15" s="6" t="s">
        <v>50</v>
      </c>
      <c r="C15" s="91">
        <v>2</v>
      </c>
      <c r="D15" s="6"/>
    </row>
    <row r="16" spans="1:7" x14ac:dyDescent="0.25">
      <c r="A16" s="9" t="s">
        <v>51</v>
      </c>
      <c r="B16" s="9"/>
      <c r="C16" s="92">
        <v>4</v>
      </c>
      <c r="D16" s="6"/>
    </row>
    <row r="17" spans="1:4" x14ac:dyDescent="0.25">
      <c r="A17" s="6" t="s">
        <v>88</v>
      </c>
      <c r="C17" s="91">
        <v>0.25</v>
      </c>
      <c r="D17" s="6"/>
    </row>
    <row r="18" spans="1:4" ht="15.75" x14ac:dyDescent="0.25">
      <c r="A18" s="7" t="s">
        <v>108</v>
      </c>
      <c r="B18" s="7" t="s">
        <v>44</v>
      </c>
      <c r="C18" s="7" t="s">
        <v>16</v>
      </c>
      <c r="D18" s="6"/>
    </row>
    <row r="19" spans="1:4" x14ac:dyDescent="0.25">
      <c r="A19" s="19" t="s">
        <v>45</v>
      </c>
      <c r="B19" s="6"/>
      <c r="C19" s="6"/>
      <c r="D19" s="6"/>
    </row>
    <row r="20" spans="1:4" x14ac:dyDescent="0.25">
      <c r="A20" s="60" t="s">
        <v>53</v>
      </c>
      <c r="B20" s="64">
        <f>B53*C44* D44</f>
        <v>115200</v>
      </c>
      <c r="C20" s="64">
        <f xml:space="preserve"> E44*(B33*D44 + B34*24+B35)</f>
        <v>82750</v>
      </c>
      <c r="D20" s="6"/>
    </row>
    <row r="21" spans="1:4" x14ac:dyDescent="0.25">
      <c r="A21" s="60" t="s">
        <v>54</v>
      </c>
      <c r="B21" s="64">
        <f>B53*C47* D47</f>
        <v>1440000</v>
      </c>
      <c r="C21" s="64">
        <f xml:space="preserve"> E47*(B33*D47 + B34*24+B35)</f>
        <v>1034375</v>
      </c>
      <c r="D21" s="6"/>
    </row>
    <row r="22" spans="1:4" x14ac:dyDescent="0.25">
      <c r="A22" s="10" t="s">
        <v>49</v>
      </c>
      <c r="B22" s="10"/>
      <c r="C22" s="93">
        <v>0</v>
      </c>
      <c r="D22" s="6"/>
    </row>
    <row r="23" spans="1:4" x14ac:dyDescent="0.25">
      <c r="A23" s="9" t="s">
        <v>50</v>
      </c>
      <c r="B23" s="9"/>
      <c r="C23" s="92">
        <v>1</v>
      </c>
      <c r="D23" s="6"/>
    </row>
    <row r="24" spans="1:4" x14ac:dyDescent="0.25">
      <c r="A24" s="6" t="s">
        <v>51</v>
      </c>
      <c r="C24" s="91">
        <v>4</v>
      </c>
      <c r="D24" s="6"/>
    </row>
    <row r="25" spans="1:4" x14ac:dyDescent="0.25">
      <c r="A25" s="9" t="s">
        <v>88</v>
      </c>
      <c r="B25" s="9"/>
      <c r="C25" s="92">
        <v>0.25</v>
      </c>
      <c r="D25" s="6"/>
    </row>
    <row r="26" spans="1:4" ht="15.75" x14ac:dyDescent="0.25">
      <c r="A26" s="7" t="s">
        <v>55</v>
      </c>
      <c r="B26" s="7" t="s">
        <v>44</v>
      </c>
      <c r="C26" s="7" t="s">
        <v>16</v>
      </c>
    </row>
    <row r="27" spans="1:4" x14ac:dyDescent="0.25">
      <c r="A27" s="6" t="s">
        <v>56</v>
      </c>
      <c r="B27" s="64">
        <v>3000</v>
      </c>
      <c r="C27" s="64">
        <v>4750</v>
      </c>
    </row>
    <row r="28" spans="1:4" x14ac:dyDescent="0.25">
      <c r="A28" s="9" t="s">
        <v>57</v>
      </c>
      <c r="B28" s="64">
        <v>5000</v>
      </c>
      <c r="C28" s="64">
        <v>1345</v>
      </c>
    </row>
    <row r="29" spans="1:4" x14ac:dyDescent="0.25">
      <c r="A29" s="6" t="s">
        <v>59</v>
      </c>
      <c r="B29" s="64">
        <v>520</v>
      </c>
      <c r="C29" s="64"/>
    </row>
    <row r="30" spans="1:4" x14ac:dyDescent="0.25">
      <c r="A30" s="9" t="s">
        <v>87</v>
      </c>
      <c r="B30" s="64"/>
      <c r="C30" s="64">
        <v>3016</v>
      </c>
    </row>
    <row r="32" spans="1:4" ht="15.75" x14ac:dyDescent="0.25">
      <c r="A32" s="7" t="s">
        <v>60</v>
      </c>
      <c r="B32" s="7" t="s">
        <v>61</v>
      </c>
    </row>
    <row r="33" spans="1:6" x14ac:dyDescent="0.25">
      <c r="A33" s="6" t="s">
        <v>62</v>
      </c>
      <c r="B33" s="64">
        <v>124</v>
      </c>
    </row>
    <row r="34" spans="1:6" x14ac:dyDescent="0.25">
      <c r="A34" s="9" t="s">
        <v>63</v>
      </c>
      <c r="B34" s="64">
        <v>226</v>
      </c>
    </row>
    <row r="35" spans="1:6" x14ac:dyDescent="0.25">
      <c r="A35" s="6" t="s">
        <v>64</v>
      </c>
      <c r="B35" s="64">
        <v>239</v>
      </c>
    </row>
    <row r="36" spans="1:6" x14ac:dyDescent="0.25">
      <c r="A36" s="9" t="s">
        <v>65</v>
      </c>
      <c r="B36" s="64">
        <v>77</v>
      </c>
    </row>
    <row r="37" spans="1:6" x14ac:dyDescent="0.25">
      <c r="A37" s="6" t="s">
        <v>66</v>
      </c>
      <c r="B37" s="64">
        <v>113</v>
      </c>
    </row>
    <row r="38" spans="1:6" x14ac:dyDescent="0.25">
      <c r="A38" s="9" t="s">
        <v>67</v>
      </c>
      <c r="B38" s="64">
        <v>104</v>
      </c>
    </row>
    <row r="40" spans="1:6" x14ac:dyDescent="0.25">
      <c r="A40" s="71"/>
      <c r="B40" s="75"/>
      <c r="C40" s="72"/>
      <c r="D40" s="72"/>
      <c r="E40" s="72"/>
      <c r="F40" s="73"/>
    </row>
    <row r="41" spans="1:6" ht="15.75" x14ac:dyDescent="0.25">
      <c r="A41" s="76"/>
      <c r="B41" s="108" t="s">
        <v>10</v>
      </c>
      <c r="C41" s="108"/>
      <c r="D41" s="108" t="s">
        <v>16</v>
      </c>
      <c r="E41" s="108"/>
      <c r="F41" s="108"/>
    </row>
    <row r="42" spans="1:6" ht="15.75" x14ac:dyDescent="0.25">
      <c r="A42" s="76" t="s">
        <v>68</v>
      </c>
      <c r="B42" s="77" t="s">
        <v>69</v>
      </c>
      <c r="C42" s="77" t="s">
        <v>70</v>
      </c>
      <c r="D42" s="107" t="s">
        <v>70</v>
      </c>
      <c r="E42" s="107"/>
      <c r="F42" s="77" t="s">
        <v>90</v>
      </c>
    </row>
    <row r="43" spans="1:6" ht="15.75" x14ac:dyDescent="0.25">
      <c r="A43" s="76"/>
      <c r="B43" s="78" t="s">
        <v>61</v>
      </c>
      <c r="C43" s="78" t="s">
        <v>71</v>
      </c>
      <c r="D43" s="78" t="s">
        <v>72</v>
      </c>
      <c r="E43" s="78" t="s">
        <v>71</v>
      </c>
      <c r="F43" s="78" t="s">
        <v>89</v>
      </c>
    </row>
    <row r="44" spans="1:6" x14ac:dyDescent="0.25">
      <c r="A44" s="79" t="s">
        <v>30</v>
      </c>
      <c r="B44" s="80">
        <v>3276</v>
      </c>
      <c r="C44" s="80">
        <f>E44</f>
        <v>2</v>
      </c>
      <c r="D44" s="80">
        <f>(60*24)/Calculator!$B$19</f>
        <v>288</v>
      </c>
      <c r="E44" s="80">
        <v>2</v>
      </c>
      <c r="F44" s="80">
        <v>2</v>
      </c>
    </row>
    <row r="45" spans="1:6" x14ac:dyDescent="0.25">
      <c r="A45" s="90" t="s">
        <v>73</v>
      </c>
      <c r="B45" s="80">
        <v>3500</v>
      </c>
      <c r="C45" s="80">
        <f>E45</f>
        <v>37</v>
      </c>
      <c r="D45" s="80">
        <f>(60*24)/Calculator!$B$19</f>
        <v>288</v>
      </c>
      <c r="E45" s="80">
        <f>17+Calculator!B14+Calculator!B18*(3+1*2)</f>
        <v>37</v>
      </c>
      <c r="F45" s="80">
        <f>4+2*Calculator!B18+1</f>
        <v>5</v>
      </c>
    </row>
    <row r="46" spans="1:6" x14ac:dyDescent="0.25">
      <c r="A46" s="79" t="s">
        <v>58</v>
      </c>
      <c r="B46" s="80">
        <v>2500</v>
      </c>
      <c r="C46" s="80">
        <f>E46</f>
        <v>1</v>
      </c>
      <c r="D46" s="80">
        <f>(60*24)/Calculator!$B$19</f>
        <v>288</v>
      </c>
      <c r="E46" s="80">
        <f>1</f>
        <v>1</v>
      </c>
      <c r="F46" s="80">
        <v>2</v>
      </c>
    </row>
    <row r="47" spans="1:6" x14ac:dyDescent="0.25">
      <c r="A47" s="79" t="s">
        <v>102</v>
      </c>
      <c r="B47" s="80">
        <v>3000</v>
      </c>
      <c r="C47" s="80">
        <f t="shared" ref="C47:C49" si="0">E47</f>
        <v>25</v>
      </c>
      <c r="D47" s="80">
        <f>(60*24)/Calculator!$B$19</f>
        <v>288</v>
      </c>
      <c r="E47" s="80">
        <f>3+4*Calculator!B16+2*Calculator!B17</f>
        <v>25</v>
      </c>
      <c r="F47" s="80">
        <f>1+2*Calculator!B17</f>
        <v>7</v>
      </c>
    </row>
    <row r="48" spans="1:6" x14ac:dyDescent="0.25">
      <c r="A48" s="74" t="s">
        <v>74</v>
      </c>
      <c r="B48" s="80">
        <v>5400</v>
      </c>
      <c r="C48" s="80">
        <f t="shared" si="0"/>
        <v>15</v>
      </c>
      <c r="D48" s="80">
        <f>(60*24)/Calculator!$B$19</f>
        <v>288</v>
      </c>
      <c r="E48" s="80">
        <f>15+3*Calculator!B18</f>
        <v>15</v>
      </c>
      <c r="F48" s="80">
        <v>9</v>
      </c>
    </row>
    <row r="49" spans="1:8" x14ac:dyDescent="0.25">
      <c r="A49" s="90" t="s">
        <v>80</v>
      </c>
      <c r="B49" s="80">
        <v>4100</v>
      </c>
      <c r="C49" s="80">
        <f t="shared" si="0"/>
        <v>6</v>
      </c>
      <c r="D49" s="80">
        <f>(60*24)/Calculator!$B$19</f>
        <v>288</v>
      </c>
      <c r="E49" s="80">
        <v>6</v>
      </c>
      <c r="F49" s="80">
        <v>0</v>
      </c>
    </row>
    <row r="50" spans="1:8" x14ac:dyDescent="0.25">
      <c r="A50" s="74" t="s">
        <v>75</v>
      </c>
      <c r="B50" s="80">
        <v>1908</v>
      </c>
      <c r="C50" s="8"/>
      <c r="D50" s="6"/>
      <c r="E50" s="6"/>
    </row>
    <row r="51" spans="1:8" x14ac:dyDescent="0.25">
      <c r="A51" s="6"/>
      <c r="B51" s="6"/>
      <c r="C51" s="6"/>
      <c r="D51" s="6"/>
      <c r="E51" s="6"/>
      <c r="F51" s="6"/>
      <c r="G51" s="6"/>
      <c r="H51" s="6"/>
    </row>
    <row r="52" spans="1:8" ht="15.75" x14ac:dyDescent="0.25">
      <c r="A52" s="7" t="s">
        <v>76</v>
      </c>
      <c r="B52" s="7" t="s">
        <v>61</v>
      </c>
      <c r="C52" s="6"/>
      <c r="D52" s="6"/>
      <c r="E52" s="6"/>
      <c r="F52" s="6"/>
      <c r="G52" s="6"/>
      <c r="H52" s="6"/>
    </row>
    <row r="53" spans="1:8" x14ac:dyDescent="0.25">
      <c r="A53" s="9" t="s">
        <v>77</v>
      </c>
      <c r="B53" s="64">
        <v>200</v>
      </c>
    </row>
  </sheetData>
  <mergeCells count="6">
    <mergeCell ref="D42:E42"/>
    <mergeCell ref="B41:C41"/>
    <mergeCell ref="E3:G4"/>
    <mergeCell ref="E5:G8"/>
    <mergeCell ref="E9:G9"/>
    <mergeCell ref="D41:F41"/>
  </mergeCells>
  <pageMargins left="0.7" right="0.7" top="0.75" bottom="0.75" header="0.3" footer="0.3"/>
  <pageSetup paperSize="9" orientation="portrait" verticalDpi="4294967294"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C821AFC3C16C43AE10B51B783365A6" ma:contentTypeVersion="0" ma:contentTypeDescription="Create a new document." ma:contentTypeScope="" ma:versionID="7e3d664a91aea73a0aec96f2f3e7d83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1002E9A-1395-466A-B90C-176BE1433AB8}">
  <ds:schemaRefs>
    <ds:schemaRef ds:uri="http://schemas.microsoft.com/sharepoint/v3/contenttype/forms"/>
  </ds:schemaRefs>
</ds:datastoreItem>
</file>

<file path=customXml/itemProps2.xml><?xml version="1.0" encoding="utf-8"?>
<ds:datastoreItem xmlns:ds="http://schemas.openxmlformats.org/officeDocument/2006/customXml" ds:itemID="{2CB03E21-FB60-4EBD-8A6B-1D265AEBFCA1}">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A7F88460-460B-4B19-9410-8E744B6F4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Instructions&amp;Notes</vt:lpstr>
      <vt:lpstr>Calculator</vt:lpstr>
      <vt:lpstr>Metrics&amp;Counters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Sergey Goncharenko</dc:creator>
  <cp:lastModifiedBy>Sergey Goncharenko</cp:lastModifiedBy>
  <dcterms:created xsi:type="dcterms:W3CDTF">2010-02-08T13:53:16Z</dcterms:created>
  <dcterms:modified xsi:type="dcterms:W3CDTF">2014-10-24T13:53:08Z</dcterms:modified>
</cp:coreProperties>
</file>